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persons/person.xml" ContentType="application/vnd.ms-excel.person+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codeName="Questa_cartella_di_lavoro"/>
  <bookViews>
    <workbookView xWindow="65428" yWindow="65428" windowWidth="23256" windowHeight="12576" tabRatio="838" activeTab="0"/>
  </bookViews>
  <sheets>
    <sheet name="Index" sheetId="23" r:id="rId1"/>
    <sheet name="Dashboard" sheetId="19" r:id="rId2"/>
    <sheet name="Revenue Funnel" sheetId="49" r:id="rId3"/>
    <sheet name="Revenue Breakdown" sheetId="48" state="hidden" r:id="rId4"/>
    <sheet name="Assumptions" sheetId="31" r:id="rId5"/>
    <sheet name="Income Statement" sheetId="16" r:id="rId6"/>
    <sheet name="Cash Flow Statement" sheetId="45" r:id="rId7"/>
    <sheet name="D&amp;A" sheetId="37" r:id="rId8"/>
    <sheet name="WC" sheetId="38" r:id="rId9"/>
    <sheet name="VAT Tax Treatment" sheetId="42" r:id="rId10"/>
    <sheet name="Debt amortization" sheetId="40" r:id="rId11"/>
    <sheet name=" HR Breakdown" sheetId="43" r:id="rId12"/>
    <sheet name="Balance Sheet" sheetId="41" r:id="rId13"/>
    <sheet name="Valuation" sheetId="44" r:id="rId14"/>
    <sheet name="WC (construction)" sheetId="47" state="hidden" r:id="rId15"/>
    <sheet name="Cap-Table Summary" sheetId="50" r:id="rId16"/>
    <sheet name="Financial Graphs" sheetId="24" r:id="rId17"/>
  </sheets>
  <externalReferences>
    <externalReference r:id="rId20"/>
  </externalReferences>
  <definedNames>
    <definedName name="AttivitàTotali">'[1]calcoli'!$C$15</definedName>
    <definedName name="solver_eng" localSheetId="4" hidden="1">1</definedName>
    <definedName name="solver_lin" localSheetId="4" hidden="1">2</definedName>
    <definedName name="solver_neg" localSheetId="4" hidden="1">1</definedName>
    <definedName name="solver_num" localSheetId="4" hidden="1">0</definedName>
    <definedName name="solver_opt" localSheetId="4" hidden="1">'Assumptions'!#REF!</definedName>
    <definedName name="solver_typ" localSheetId="4" hidden="1">1</definedName>
    <definedName name="solver_val" localSheetId="4" hidden="1">0</definedName>
    <definedName name="solver_ver" localSheetId="4" hidden="1">2</definedName>
  </definedNames>
  <calcPr calcId="191029"/>
  <extLst>
    <ext xmlns:x14="http://schemas.microsoft.com/office/spreadsheetml/2009/9/main" xmlns="http://schemas.openxmlformats.org/spreadsheetml/2006/main" uri="{79F54976-1DA5-4618-B147-4CDE4B953A38}">
      <x14:workbookPr defaultImageDpi="330"/>
    </ext>
  </extLst>
</workbook>
</file>

<file path=xl/comments11.xml><?xml version="1.0" encoding="utf-8"?>
<comments xmlns="http://schemas.openxmlformats.org/spreadsheetml/2006/main">
  <authors>
    <author>tc={4AC9E691-8992-A74F-BA62-E2217C19A344}</author>
    <author>tc={D6538610-6148-DF42-A164-70820497FD0B}</author>
    <author>tc={DB38B89D-FCEA-E74E-8377-9EE98D3834BA}</author>
    <author>tc={7E215C75-6876-1F41-99B8-640B2B239D01}</author>
    <author>tc={DAD11EC0-2C9E-EA41-BCD5-077CFEE1794B}</author>
  </authors>
  <commentList>
    <comment ref="C49" authorId="0">
      <text>
        <r>
          <t>[Threaded comment]
Your version of Excel allows you to read this threaded comment; however, any edits to it will get removed if the file is opened in a newer version of Excel. Learn more: https://go.microsoft.com/fwlink/?linkid=870924
Comment:
    match this number with the initial moment of the debt repayment</t>
        </r>
      </text>
    </comment>
    <comment ref="C71" authorId="1">
      <text>
        <r>
          <t>[Threaded comment]
Your version of Excel allows you to read this threaded comment; however, any edits to it will get removed if the file is opened in a newer version of Excel. Learn more: https://go.microsoft.com/fwlink/?linkid=870924
Comment:
    match this number with the initial moment of the debt repayment</t>
        </r>
      </text>
    </comment>
    <comment ref="C93" authorId="2">
      <text>
        <r>
          <t>[Threaded comment]
Your version of Excel allows you to read this threaded comment; however, any edits to it will get removed if the file is opened in a newer version of Excel. Learn more: https://go.microsoft.com/fwlink/?linkid=870924
Comment:
    match this number with the initial moment of the debt repayment</t>
        </r>
      </text>
    </comment>
    <comment ref="C115" authorId="3">
      <text>
        <r>
          <t>[Threaded comment]
Your version of Excel allows you to read this threaded comment; however, any edits to it will get removed if the file is opened in a newer version of Excel. Learn more: https://go.microsoft.com/fwlink/?linkid=870924
Comment:
    match this number with the initial moment of the debt repayment</t>
        </r>
      </text>
    </comment>
    <comment ref="C137" authorId="4">
      <text>
        <r>
          <t>[Threaded comment]
Your version of Excel allows you to read this threaded comment; however, any edits to it will get removed if the file is opened in a newer version of Excel. Learn more: https://go.microsoft.com/fwlink/?linkid=870924
Comment:
    match this number with the initial moment of the debt repayment</t>
        </r>
      </text>
    </comment>
  </commentList>
</comments>
</file>

<file path=xl/comments14.xml><?xml version="1.0" encoding="utf-8"?>
<comments xmlns="http://schemas.openxmlformats.org/spreadsheetml/2006/main">
  <authors>
    <author>Aswath Damodaran</author>
  </authors>
  <commentList>
    <comment ref="E71" authorId="0">
      <text>
        <r>
          <rPr>
            <b/>
            <sz val="9"/>
            <color rgb="FF000000"/>
            <rFont val="Geneva"/>
            <family val="2"/>
          </rPr>
          <t>Aswath Damodaran:</t>
        </r>
        <r>
          <rPr>
            <sz val="9"/>
            <color rgb="FF000000"/>
            <rFont val="Geneva"/>
            <family val="2"/>
          </rPr>
          <t xml:space="preserve">
</t>
        </r>
        <r>
          <rPr>
            <sz val="9"/>
            <color rgb="FF000000"/>
            <rFont val="Geneva"/>
            <family val="2"/>
          </rPr>
          <t>In millions of dollars</t>
        </r>
      </text>
    </comment>
    <comment ref="I71" authorId="0">
      <text>
        <r>
          <rPr>
            <b/>
            <sz val="9"/>
            <color rgb="FF000000"/>
            <rFont val="Geneva"/>
            <family val="2"/>
          </rPr>
          <t>Aswath Damodaran:</t>
        </r>
        <r>
          <rPr>
            <sz val="9"/>
            <color rgb="FF000000"/>
            <rFont val="Geneva"/>
            <family val="2"/>
          </rPr>
          <t xml:space="preserve">
</t>
        </r>
        <r>
          <rPr>
            <sz val="9"/>
            <color rgb="FF000000"/>
            <rFont val="Geneva"/>
            <family val="2"/>
          </rPr>
          <t>In millions of dollars</t>
        </r>
      </text>
    </comment>
    <comment ref="E72" authorId="0">
      <text>
        <r>
          <rPr>
            <b/>
            <sz val="9"/>
            <color rgb="FF000000"/>
            <rFont val="Geneva"/>
            <family val="2"/>
          </rPr>
          <t>Aswath Damodaran:</t>
        </r>
        <r>
          <rPr>
            <sz val="9"/>
            <color rgb="FF000000"/>
            <rFont val="Geneva"/>
            <family val="2"/>
          </rPr>
          <t xml:space="preserve">
</t>
        </r>
        <r>
          <rPr>
            <sz val="9"/>
            <color rgb="FF000000"/>
            <rFont val="Geneva"/>
            <family val="2"/>
          </rPr>
          <t>This is the illiqudiity discount for a profitable firm with $ 10 million in revenues.</t>
        </r>
      </text>
    </comment>
    <comment ref="I72" authorId="0">
      <text>
        <r>
          <rPr>
            <b/>
            <sz val="9"/>
            <color rgb="FF000000"/>
            <rFont val="Geneva"/>
            <family val="2"/>
          </rPr>
          <t>Aswath Damodaran:</t>
        </r>
        <r>
          <rPr>
            <sz val="9"/>
            <color rgb="FF000000"/>
            <rFont val="Geneva"/>
            <family val="2"/>
          </rPr>
          <t xml:space="preserve">
</t>
        </r>
        <r>
          <rPr>
            <sz val="9"/>
            <color rgb="FF000000"/>
            <rFont val="Geneva"/>
            <family val="2"/>
          </rPr>
          <t xml:space="preserve">Cash and Marketable securities/ Market Value of the firm. For a private firm, use estimated firm value.
</t>
        </r>
      </text>
    </comment>
    <comment ref="E73" authorId="0">
      <text>
        <r>
          <rPr>
            <b/>
            <sz val="9"/>
            <color rgb="FF000000"/>
            <rFont val="Geneva"/>
            <family val="2"/>
          </rPr>
          <t>Aswath Damodaran:</t>
        </r>
        <r>
          <rPr>
            <sz val="9"/>
            <color rgb="FF000000"/>
            <rFont val="Geneva"/>
            <family val="2"/>
          </rPr>
          <t xml:space="preserve">
</t>
        </r>
        <r>
          <rPr>
            <sz val="9"/>
            <color rgb="FF000000"/>
            <rFont val="Geneva"/>
            <family val="2"/>
          </rPr>
          <t>If entire firm is for sale, enter 100%. If only a portion is for sale, enter the percent being sold.</t>
        </r>
      </text>
    </comment>
    <comment ref="I73" authorId="0">
      <text>
        <r>
          <rPr>
            <b/>
            <sz val="9"/>
            <color rgb="FF000000"/>
            <rFont val="Geneva"/>
            <family val="2"/>
          </rPr>
          <t>Aswath Damodaran:</t>
        </r>
        <r>
          <rPr>
            <sz val="9"/>
            <color rgb="FF000000"/>
            <rFont val="Geneva"/>
            <family val="2"/>
          </rPr>
          <t xml:space="preserve">
</t>
        </r>
        <r>
          <rPr>
            <sz val="9"/>
            <color rgb="FF000000"/>
            <rFont val="Geneva"/>
            <family val="2"/>
          </rPr>
          <t>Monthly $ trading volume/ Market Value: For a private firm - enter 0</t>
        </r>
      </text>
    </comment>
    <comment ref="E74" authorId="0">
      <text>
        <r>
          <rPr>
            <b/>
            <sz val="9"/>
            <color rgb="FF000000"/>
            <rFont val="Geneva"/>
            <family val="2"/>
          </rPr>
          <t>Aswath Damodaran:</t>
        </r>
        <r>
          <rPr>
            <sz val="9"/>
            <color rgb="FF000000"/>
            <rFont val="Geneva"/>
            <family val="2"/>
          </rPr>
          <t xml:space="preserve">
</t>
        </r>
        <r>
          <rPr>
            <sz val="9"/>
            <color rgb="FF000000"/>
            <rFont val="Geneva"/>
            <family val="2"/>
          </rPr>
          <t xml:space="preserve">1: Positive
</t>
        </r>
        <r>
          <rPr>
            <sz val="9"/>
            <color rgb="FF000000"/>
            <rFont val="Geneva"/>
            <family val="2"/>
          </rPr>
          <t>0: Negative</t>
        </r>
      </text>
    </comment>
    <comment ref="I74" authorId="0">
      <text>
        <r>
          <rPr>
            <b/>
            <sz val="9"/>
            <color rgb="FF000000"/>
            <rFont val="Geneva"/>
            <family val="2"/>
          </rPr>
          <t>Aswath Damodaran:</t>
        </r>
        <r>
          <rPr>
            <sz val="9"/>
            <color rgb="FF000000"/>
            <rFont val="Geneva"/>
            <family val="2"/>
          </rPr>
          <t xml:space="preserve">
</t>
        </r>
        <r>
          <rPr>
            <sz val="9"/>
            <color rgb="FF000000"/>
            <rFont val="Geneva"/>
            <family val="2"/>
          </rPr>
          <t>0: Negative 1: Positive</t>
        </r>
      </text>
    </comment>
  </commentList>
</comments>
</file>

<file path=xl/comments3.xml><?xml version="1.0" encoding="utf-8"?>
<comments xmlns="http://schemas.openxmlformats.org/spreadsheetml/2006/main">
  <authors>
    <author>tc={28A1594A-AF82-4FB2-8268-7F422441B8EE}</author>
    <author>tc={1E6F8BDC-BCF5-4A91-94C1-AD97419BAAB8}</author>
    <author>tc={9399D0A9-FB90-4861-80BE-427610678362}</author>
    <author>tc={018DA36D-3D99-4C33-B23D-8B6753D6BD6D}</author>
    <author>tc={5BB44FA4-2EC1-49C2-BF0D-0481E007C101}</author>
    <author>tc={A8CB8B17-504C-4C27-9DC7-6740A7E3A45E}</author>
  </authors>
  <commentList>
    <comment ref="M17" authorId="0">
      <text>
        <r>
          <t>[Threaded comment]
Your version of Excel allows you to read this threaded comment; however, any edits to it will get removed if the file is opened in a newer version of Excel. Learn more: https://go.microsoft.com/fwlink/?linkid=870924
Comment:
    primo mese gratuito per le 50 aziende scelte</t>
        </r>
      </text>
    </comment>
    <comment ref="N17" authorId="1">
      <text>
        <r>
          <t>[Threaded comment]
Your version of Excel allows you to read this threaded comment; however, any edits to it will get removed if the file is opened in a newer version of Excel. Learn more: https://go.microsoft.com/fwlink/?linkid=870924
Comment:
    primi 3 mesi a prezzo di lancio</t>
        </r>
      </text>
    </comment>
    <comment ref="O17" authorId="2">
      <text>
        <r>
          <t>[Threaded comment]
Your version of Excel allows you to read this threaded comment; however, any edits to it will get removed if the file is opened in a newer version of Excel. Learn more: https://go.microsoft.com/fwlink/?linkid=870924
Comment:
    primi 3 mesi a prezzo di lancio</t>
        </r>
      </text>
    </comment>
    <comment ref="P17" authorId="3">
      <text>
        <r>
          <t>[Threaded comment]
Your version of Excel allows you to read this threaded comment; however, any edits to it will get removed if the file is opened in a newer version of Excel. Learn more: https://go.microsoft.com/fwlink/?linkid=870924
Comment:
    primi 3 mesi a prezzo di lancio</t>
        </r>
      </text>
    </comment>
    <comment ref="C22" authorId="4">
      <text>
        <r>
          <t>[Threaded comment]
Your version of Excel allows you to read this threaded comment; however, any edits to it will get removed if the file is opened in a newer version of Excel. Learn more: https://go.microsoft.com/fwlink/?linkid=870924
Comment:
    E-COMMERCE CPA, STATISTA</t>
        </r>
      </text>
    </comment>
    <comment ref="C30" authorId="5">
      <text>
        <r>
          <t>[Threaded comment]
Your version of Excel allows you to read this threaded comment; however, any edits to it will get removed if the file is opened in a newer version of Excel. Learn more: https://go.microsoft.com/fwlink/?linkid=870924
Comment:
    1€ margin on delivery cost</t>
        </r>
      </text>
    </comment>
  </commentList>
</comments>
</file>

<file path=xl/comments4.xml><?xml version="1.0" encoding="utf-8"?>
<comments xmlns="http://schemas.openxmlformats.org/spreadsheetml/2006/main">
  <authors>
    <author>Devid Quattrocchi</author>
    <author>tc={C1FEB7EB-4F1A-4697-B560-AC3A8950161D}</author>
    <author>tc={74257A0F-8EEF-4177-B1D8-BE177A0AFC00}</author>
  </authors>
  <commentList>
    <comment ref="BP4" authorId="0">
      <text>
        <r>
          <rPr>
            <b/>
            <sz val="9"/>
            <color rgb="FF000000"/>
            <rFont val="Tahoma"/>
            <family val="2"/>
          </rPr>
          <t xml:space="preserve">Devid Quattrocchi
</t>
        </r>
        <r>
          <rPr>
            <b/>
            <sz val="9"/>
            <color rgb="FF000000"/>
            <rFont val="Tahoma"/>
            <family val="2"/>
          </rPr>
          <t xml:space="preserve">Fonte: European Motor Insurance Markets
</t>
        </r>
        <r>
          <rPr>
            <b/>
            <sz val="9"/>
            <color rgb="FF000000"/>
            <rFont val="Tahoma"/>
            <family val="2"/>
          </rPr>
          <t xml:space="preserve">February 2019
</t>
        </r>
      </text>
    </comment>
    <comment ref="BP6" authorId="1">
      <text>
        <r>
          <t>[Threaded comment]
Your version of Excel allows you to read this threaded comment; however, any edits to it will get removed if the file is opened in a newer version of Excel. Learn more: https://go.microsoft.com/fwlink/?linkid=870924
Comment:
    European-Car-Rental-Market-Overview-and-Structural-Perspectives.pdf</t>
        </r>
      </text>
    </comment>
    <comment ref="D7" authorId="0">
      <text>
        <r>
          <rPr>
            <b/>
            <sz val="9"/>
            <color rgb="FF000000"/>
            <rFont val="Tahoma"/>
            <family val="2"/>
          </rPr>
          <t>Devid Quattrocchi:</t>
        </r>
        <r>
          <rPr>
            <sz val="9"/>
            <color rgb="FF000000"/>
            <rFont val="Tahoma"/>
            <family val="2"/>
          </rPr>
          <t xml:space="preserve">
</t>
        </r>
        <r>
          <rPr>
            <sz val="9"/>
            <color rgb="FF000000"/>
            <rFont val="Tahoma"/>
            <family val="2"/>
          </rPr>
          <t>10000 product sold for each license</t>
        </r>
      </text>
    </comment>
    <comment ref="BP10" authorId="0">
      <text>
        <r>
          <rPr>
            <b/>
            <sz val="9"/>
            <color rgb="FF000000"/>
            <rFont val="Tahoma"/>
            <family val="2"/>
          </rPr>
          <t>Devid Quattrocchi:</t>
        </r>
        <r>
          <rPr>
            <sz val="9"/>
            <color rgb="FF000000"/>
            <rFont val="Tahoma"/>
            <family val="2"/>
          </rPr>
          <t xml:space="preserve">
</t>
        </r>
        <r>
          <rPr>
            <sz val="9"/>
            <color rgb="FF000000"/>
            <rFont val="Tahoma"/>
            <family val="2"/>
          </rPr>
          <t>Report : The automobile industry pocket guide</t>
        </r>
      </text>
    </comment>
    <comment ref="D11" authorId="0">
      <text>
        <r>
          <rPr>
            <b/>
            <sz val="9"/>
            <color rgb="FF000000"/>
            <rFont val="Tahoma"/>
            <family val="2"/>
          </rPr>
          <t xml:space="preserve">Revenue for each mb sold
</t>
        </r>
      </text>
    </comment>
    <comment ref="D12" authorId="2">
      <text>
        <r>
          <t>[Threaded comment]
Your version of Excel allows you to read this threaded comment; however, any edits to it will get removed if the file is opened in a newer version of Excel. Learn more: https://go.microsoft.com/fwlink/?linkid=870924
Comment:
    Cost of production per licensed product sold= 35 €</t>
        </r>
      </text>
    </comment>
  </commentList>
</comments>
</file>

<file path=xl/comments5.xml><?xml version="1.0" encoding="utf-8"?>
<comments xmlns="http://schemas.openxmlformats.org/spreadsheetml/2006/main">
  <authors>
    <author>tc={2E12F3B4-77E5-42D2-B3F2-0CD8E67B0CCF}</author>
    <author>tc={F418C6C2-F895-4A96-896F-E0DF6EB816CB}</author>
  </authors>
  <commentList>
    <comment ref="B18" authorId="0">
      <text>
        <r>
          <t>[Threaded comment]
Your version of Excel allows you to read this threaded comment; however, any edits to it will get removed if the file is opened in a newer version of Excel. Learn more: https://go.microsoft.com/fwlink/?linkid=870924
Comment:
    we assume 10 candidates via Booking Getastand per event
Reply:
    the same candidate may succesfully apply to more than one event</t>
        </r>
      </text>
    </comment>
    <comment ref="D156" authorId="1">
      <text>
        <r>
          <t>[Threaded comment]
Your version of Excel allows you to read this threaded comment; however, any edits to it will get removed if the file is opened in a newer version of Excel. Learn more: https://go.microsoft.com/fwlink/?linkid=870924
Comment:
    Actual HR expense from jan-aug 2020</t>
        </r>
      </text>
    </comment>
  </commentList>
</comments>
</file>

<file path=xl/comments6.xml><?xml version="1.0" encoding="utf-8"?>
<comments xmlns="http://schemas.openxmlformats.org/spreadsheetml/2006/main">
  <authors>
    <author>Utente di Microsoft Office</author>
  </authors>
  <commentList>
    <comment ref="E74" authorId="0">
      <text>
        <r>
          <rPr>
            <b/>
            <sz val="10"/>
            <color rgb="FF000000"/>
            <rFont val="Calibri"/>
            <family val="2"/>
          </rPr>
          <t>Utente di Microsoft Office:</t>
        </r>
        <r>
          <rPr>
            <sz val="10"/>
            <color rgb="FF000000"/>
            <rFont val="Calibri"/>
            <family val="2"/>
          </rPr>
          <t xml:space="preserve">
</t>
        </r>
      </text>
    </comment>
  </commentList>
</comments>
</file>

<file path=xl/comments8.xml><?xml version="1.0" encoding="utf-8"?>
<comments xmlns="http://schemas.openxmlformats.org/spreadsheetml/2006/main">
  <authors>
    <author>Utente di Microsoft Office</author>
    <author>tc={848A1908-73D9-4DB1-891B-9CF26738E1E4}</author>
    <author>tc={294214C5-CBA8-3041-BC3B-BB0C93A46D7E}</author>
  </authors>
  <commentList>
    <comment ref="B5" authorId="0">
      <text>
        <r>
          <rPr>
            <sz val="10"/>
            <color rgb="FF000000"/>
            <rFont val="Tahoma"/>
            <family val="2"/>
          </rPr>
          <t>Vita Utile considerata per i depuratori = 10 anni; Tipologia di ammortamento: ammortamento costante</t>
        </r>
      </text>
    </comment>
    <comment ref="B9" authorId="1">
      <text>
        <r>
          <t>[Threaded comment]
Your version of Excel allows you to read this threaded comment; however, any edits to it will get removed if the file is opened in a newer version of Excel. Learn more: https://go.microsoft.com/fwlink/?linkid=870924
Comment:
    platform development</t>
        </r>
      </text>
    </comment>
    <comment ref="B14" authorId="2">
      <text>
        <r>
          <t>[Threaded comment]
Your version of Excel allows you to read this threaded comment; however, any edits to it will get removed if the file is opened in a newer version of Excel. Learn more: https://go.microsoft.com/fwlink/?linkid=870924
Comment:
    Change “Assumptions” sheet to determine % of R&amp;D for employees</t>
        </r>
      </text>
    </comment>
  </commentList>
</comments>
</file>

<file path=xl/comments9.xml><?xml version="1.0" encoding="utf-8"?>
<comments xmlns="http://schemas.openxmlformats.org/spreadsheetml/2006/main">
  <authors>
    <author>tc={C02E7BA3-1FE6-1842-B51A-63934605B679}</author>
  </authors>
  <commentList>
    <comment ref="B41" authorId="0">
      <text>
        <r>
          <t>[Threaded comment]
Your version of Excel allows you to read this threaded comment; however, any edits to it will get removed if the file is opened in a newer version of Excel. Learn more: https://go.microsoft.com/fwlink/?linkid=870924
Comment:
    insert here the Revenues and the COGS/Development cost if needed</t>
        </r>
      </text>
    </comment>
  </commentList>
</comments>
</file>

<file path=xl/sharedStrings.xml><?xml version="1.0" encoding="utf-8"?>
<sst xmlns="http://schemas.openxmlformats.org/spreadsheetml/2006/main" count="2150" uniqueCount="579">
  <si>
    <t>HR</t>
  </si>
  <si>
    <t>G&amp;A</t>
  </si>
  <si>
    <t>REVENUES</t>
  </si>
  <si>
    <t>EBITDA</t>
  </si>
  <si>
    <t>Q1</t>
  </si>
  <si>
    <t>Q2</t>
  </si>
  <si>
    <t>Q3</t>
  </si>
  <si>
    <t>Q4</t>
  </si>
  <si>
    <t>May</t>
  </si>
  <si>
    <t>Marketing</t>
  </si>
  <si>
    <t>IT</t>
  </si>
  <si>
    <t>See 'Parameters' sheet for more details</t>
  </si>
  <si>
    <t>Net Income</t>
  </si>
  <si>
    <t>Revenues</t>
  </si>
  <si>
    <t>EBIT</t>
  </si>
  <si>
    <t>EBT</t>
  </si>
  <si>
    <t>Interest Income</t>
  </si>
  <si>
    <t>Other Income</t>
  </si>
  <si>
    <t>Interest Expenses</t>
  </si>
  <si>
    <t>Other Income (Net)</t>
  </si>
  <si>
    <t>Income Taxes</t>
  </si>
  <si>
    <t>Operating Costs</t>
  </si>
  <si>
    <t>CASH FLOW</t>
  </si>
  <si>
    <t>+ D&amp;A</t>
  </si>
  <si>
    <t>EBITDA MARGIN</t>
  </si>
  <si>
    <t>EBITDA margin</t>
  </si>
  <si>
    <t>Index</t>
  </si>
  <si>
    <t>EBIT*(1-Taxes)</t>
  </si>
  <si>
    <t>+ increase in payables</t>
  </si>
  <si>
    <t>- increase in inventory</t>
  </si>
  <si>
    <t>KPIs</t>
  </si>
  <si>
    <t>Employees</t>
  </si>
  <si>
    <t>EBT
per capita</t>
  </si>
  <si>
    <t>KPIs Profitability</t>
  </si>
  <si>
    <t>KPIs Efficiency</t>
  </si>
  <si>
    <t>KPIs Productivity</t>
  </si>
  <si>
    <t>1) Dashboard</t>
  </si>
  <si>
    <t>- CAPEX</t>
  </si>
  <si>
    <t>Cumulated Cash Flow</t>
  </si>
  <si>
    <t>+/- Working Capital Changes</t>
  </si>
  <si>
    <t>- Increase in receivables</t>
  </si>
  <si>
    <t>+/- Changes in Investment Activities</t>
  </si>
  <si>
    <t>- Acquisition of Assets</t>
  </si>
  <si>
    <t>+ Sales of Assets</t>
  </si>
  <si>
    <t>+/- Changes in Financing Activities</t>
  </si>
  <si>
    <t>- Increase in Financial Receivables</t>
  </si>
  <si>
    <t>- Dividends</t>
  </si>
  <si>
    <t>+ Shareholders' Cash</t>
  </si>
  <si>
    <t>D&amp;A</t>
  </si>
  <si>
    <t>DEPRECIATION &amp; AMORTIZATION</t>
  </si>
  <si>
    <t>CAPEX</t>
  </si>
  <si>
    <t>AMORTIZATION</t>
  </si>
  <si>
    <t>OPERATING COSTS</t>
  </si>
  <si>
    <t>Inventory</t>
  </si>
  <si>
    <t xml:space="preserve">Working Capital </t>
  </si>
  <si>
    <t>Receivables - Payables</t>
  </si>
  <si>
    <t>WORKING CAPITAL ASSUMPTIONS</t>
  </si>
  <si>
    <t xml:space="preserve">Disclaimer </t>
  </si>
  <si>
    <t>BUSINESS ASSUMPTIONS</t>
  </si>
  <si>
    <t>COSTS ASSUMPTIONS</t>
  </si>
  <si>
    <t>Valuation</t>
  </si>
  <si>
    <t>1)</t>
  </si>
  <si>
    <t>Valuation Methodology</t>
  </si>
  <si>
    <t>2)</t>
  </si>
  <si>
    <t>EV/EBITDA</t>
  </si>
  <si>
    <t>STATO PATRIMONIALE</t>
  </si>
  <si>
    <t>ATTIVO</t>
  </si>
  <si>
    <t xml:space="preserve">PASSIVO </t>
  </si>
  <si>
    <t>A)</t>
  </si>
  <si>
    <t>Patrimonio netto</t>
  </si>
  <si>
    <t>I - Fondo di dotazione dell’ente</t>
  </si>
  <si>
    <t>B)</t>
  </si>
  <si>
    <t>Immobilizzazioni:</t>
  </si>
  <si>
    <t>Totale</t>
  </si>
  <si>
    <t>I - Immobilizzazioni immateriali:</t>
  </si>
  <si>
    <t>1) costi di ricerca, sviluppo e di pubblicità</t>
  </si>
  <si>
    <t>II Patrimonio vincolato</t>
  </si>
  <si>
    <t>2) diritti di brevetto e di utilizzazione delle opere dell'ingegno</t>
  </si>
  <si>
    <t>1) riserve statutarie</t>
  </si>
  <si>
    <t>3) spese manutenzioni da ammortizzare</t>
  </si>
  <si>
    <t>2) fondi vincolati per decisione degli organi istituzionali</t>
  </si>
  <si>
    <t>4) oneri pluriennali</t>
  </si>
  <si>
    <t>3) fondi vincolati destinati da terzi</t>
  </si>
  <si>
    <t>5) Altre</t>
  </si>
  <si>
    <t xml:space="preserve">Totale </t>
  </si>
  <si>
    <t>III - Patrimonio libero</t>
  </si>
  <si>
    <t>II - Immobilizzazioni materiali:</t>
  </si>
  <si>
    <t>1) risultato gestionale esercizio in corso</t>
  </si>
  <si>
    <t>1) terreni e fabbricati</t>
  </si>
  <si>
    <t>2) riserve accantonate negli esercizi precedenti</t>
  </si>
  <si>
    <t>2) Impianti ed attrezzature</t>
  </si>
  <si>
    <t>3) altri beni</t>
  </si>
  <si>
    <t>Totale Patrimonio netto (A)</t>
  </si>
  <si>
    <t>4) Immobilizzazioni in corso e acconti</t>
  </si>
  <si>
    <t>5) ….</t>
  </si>
  <si>
    <t>Fondi per rischi ed oneri</t>
  </si>
  <si>
    <t>III - Immobilizzazioni finanziarie:</t>
  </si>
  <si>
    <t>C)</t>
  </si>
  <si>
    <t>Trattamento di fine rapporto lavoro subordinato</t>
  </si>
  <si>
    <t>1) partecipazioni</t>
  </si>
  <si>
    <t>2) crediti</t>
  </si>
  <si>
    <t xml:space="preserve">    - di cui esigibili entro l'esercizio successivo</t>
  </si>
  <si>
    <t>D)</t>
  </si>
  <si>
    <t>Debiti</t>
  </si>
  <si>
    <t>3) altri titoli</t>
  </si>
  <si>
    <t>1) debiti verso banche</t>
  </si>
  <si>
    <t xml:space="preserve">    - esigibili oltre l'esercizio successivo</t>
  </si>
  <si>
    <t>Totale Immobilizzazioni (B)</t>
  </si>
  <si>
    <t>2) debiti verso altri finanziatori</t>
  </si>
  <si>
    <t>Attivo circolante:</t>
  </si>
  <si>
    <t>I - Rimanenze:</t>
  </si>
  <si>
    <t xml:space="preserve">    - di cui esigibili oltre l'esercizio successivo</t>
  </si>
  <si>
    <t>Totale debiti lungo periodo</t>
  </si>
  <si>
    <t>1) materie prime, sussidiarie, e di consumo</t>
  </si>
  <si>
    <t>4) debiti verso fornitori</t>
  </si>
  <si>
    <t>2) prodotti in corso di lavorazione e semilavorati</t>
  </si>
  <si>
    <t>3) lavori in corso su ordinazione</t>
  </si>
  <si>
    <t>5) debiti tributari</t>
  </si>
  <si>
    <t>4) prodotti finiti e merci</t>
  </si>
  <si>
    <t>5) acconti</t>
  </si>
  <si>
    <t>6) debiti verso istituti di previdenza e di sicurezza sociale</t>
  </si>
  <si>
    <t>II - Crediti:</t>
  </si>
  <si>
    <t>Totale debiti breve periodo</t>
  </si>
  <si>
    <t>1) verso clienti</t>
  </si>
  <si>
    <t xml:space="preserve">   -  di cui esigibili oltre l'esercizio successivo</t>
  </si>
  <si>
    <t>2) verso altri</t>
  </si>
  <si>
    <t>E)</t>
  </si>
  <si>
    <t>Ratei e risconti</t>
  </si>
  <si>
    <t>III – Attività finanziarie non immobilizzate</t>
  </si>
  <si>
    <t>2) altri titoli</t>
  </si>
  <si>
    <t>IV - Disponibilità liquide:</t>
  </si>
  <si>
    <t>Totale Attivo circolante (C)</t>
  </si>
  <si>
    <t>Ratei e risconti:</t>
  </si>
  <si>
    <t>TOTALE ATTIVO</t>
  </si>
  <si>
    <t>TOTALE PASSIVO</t>
  </si>
  <si>
    <t>Check</t>
  </si>
  <si>
    <t xml:space="preserve">Nota: 
1. Capitale sociale del primo anno si ipotizza versato in cassa
2.Gli utili/perdite di esercizio si ipotizzano portate a nuovo </t>
  </si>
  <si>
    <t>Debt Amortization Plan</t>
  </si>
  <si>
    <t>Crediti verso associati per versamento quote</t>
  </si>
  <si>
    <t>Tot.</t>
  </si>
  <si>
    <t>Years</t>
  </si>
  <si>
    <t xml:space="preserve">Financing </t>
  </si>
  <si>
    <t>Tot. Installments</t>
  </si>
  <si>
    <t xml:space="preserve">Euribor </t>
  </si>
  <si>
    <t>Bank's Spread</t>
  </si>
  <si>
    <t>Effective Bank's rate</t>
  </si>
  <si>
    <t># of installement</t>
  </si>
  <si>
    <t>Due Date</t>
  </si>
  <si>
    <t>Principal</t>
  </si>
  <si>
    <t>Interests</t>
  </si>
  <si>
    <t>Annual installement</t>
  </si>
  <si>
    <t># of annual installments</t>
  </si>
  <si>
    <t>Residual Debt</t>
  </si>
  <si>
    <t>Monyhly installement</t>
  </si>
  <si>
    <t>Installment</t>
  </si>
  <si>
    <t>ASSETS</t>
  </si>
  <si>
    <t>DEPRECIATION</t>
  </si>
  <si>
    <t>Revenue
per capita</t>
  </si>
  <si>
    <t>% Costs / 
% Revenue</t>
  </si>
  <si>
    <t xml:space="preserve">Purpose of the document </t>
  </si>
  <si>
    <t xml:space="preserve">VAT TAX Treatment </t>
  </si>
  <si>
    <t>INPS</t>
  </si>
  <si>
    <t xml:space="preserve">INAIL </t>
  </si>
  <si>
    <t>Tot</t>
  </si>
  <si>
    <t>TFR</t>
  </si>
  <si>
    <t>INAIL</t>
  </si>
  <si>
    <t>+ TFR</t>
  </si>
  <si>
    <t>INAIL/INPS</t>
  </si>
  <si>
    <t>Free Cash Flow to Equity (FCFE)</t>
  </si>
  <si>
    <t>Net Cash Flow</t>
  </si>
  <si>
    <t>Revenue</t>
  </si>
  <si>
    <t>COGS</t>
  </si>
  <si>
    <t>Free Cash Flow to the Firm (FCFF)</t>
  </si>
  <si>
    <t xml:space="preserve">VAT credit  amount </t>
  </si>
  <si>
    <t xml:space="preserve">VAT debt amount </t>
  </si>
  <si>
    <t>VAT Balance</t>
  </si>
  <si>
    <t>+ Increase in Financial Debts / Grants</t>
  </si>
  <si>
    <t>- Payments of Financial Debts / Grants</t>
  </si>
  <si>
    <t>+/- VAT</t>
  </si>
  <si>
    <t>Valuation Analysis</t>
  </si>
  <si>
    <t xml:space="preserve">TFR </t>
  </si>
  <si>
    <t>Multipliers</t>
  </si>
  <si>
    <t>Gross Cost HR</t>
  </si>
  <si>
    <t>Headcount</t>
  </si>
  <si>
    <t>VAT Tax rate for special categories</t>
  </si>
  <si>
    <t>VAT Tax rate (standard)</t>
  </si>
  <si>
    <t xml:space="preserve">OPEX - HR + COGS + CAPEX + Acquisition of ASSETS  </t>
  </si>
  <si>
    <t>January</t>
  </si>
  <si>
    <t>February</t>
  </si>
  <si>
    <t>March</t>
  </si>
  <si>
    <t>April</t>
  </si>
  <si>
    <t>June</t>
  </si>
  <si>
    <t>July</t>
  </si>
  <si>
    <t>August</t>
  </si>
  <si>
    <t>September</t>
  </si>
  <si>
    <t>October</t>
  </si>
  <si>
    <t>November</t>
  </si>
  <si>
    <t>December</t>
  </si>
  <si>
    <t>Income Statement</t>
  </si>
  <si>
    <t>Cash Flow Statement</t>
  </si>
  <si>
    <t>Revenue and Costs (IVA included)</t>
  </si>
  <si>
    <t>Revenue and Costs (IVA excluded)</t>
  </si>
  <si>
    <t>INCOME STATEMENT</t>
  </si>
  <si>
    <t>Amortization rate (monthly)</t>
  </si>
  <si>
    <t xml:space="preserve">GROSS COST HR </t>
  </si>
  <si>
    <t>TOT.</t>
  </si>
  <si>
    <t>Tot. Assets</t>
  </si>
  <si>
    <t>RECEIVABLES</t>
  </si>
  <si>
    <t>PAYABLES</t>
  </si>
  <si>
    <t># of installments</t>
  </si>
  <si>
    <t>Days between installments</t>
  </si>
  <si>
    <t>TOT. RECEIVABLES</t>
  </si>
  <si>
    <t>TOT. PAYABLES</t>
  </si>
  <si>
    <t>Cash impact on Working Capital</t>
  </si>
  <si>
    <t>Receivables collected</t>
  </si>
  <si>
    <t>Payables paid</t>
  </si>
  <si>
    <t>Average Monthly interests</t>
  </si>
  <si>
    <t>3) Assumptions</t>
  </si>
  <si>
    <t>4) Income Statement</t>
  </si>
  <si>
    <t>5) Cash Flow Statement</t>
  </si>
  <si>
    <t>6) D&amp;A</t>
  </si>
  <si>
    <t>7) WC</t>
  </si>
  <si>
    <t>8) VAT Tax Treatment</t>
  </si>
  <si>
    <t>9) Debt Amortization</t>
  </si>
  <si>
    <t>10) HR Breakdown</t>
  </si>
  <si>
    <t>11) Balance Sheet (ITA)</t>
  </si>
  <si>
    <t>R.A.L.</t>
  </si>
  <si>
    <t>CDA</t>
  </si>
  <si>
    <t>+ Increase in Tax Payables</t>
  </si>
  <si>
    <t>Link</t>
  </si>
  <si>
    <t>3)</t>
  </si>
  <si>
    <t>Mean</t>
  </si>
  <si>
    <t>Illiquidity discount</t>
  </si>
  <si>
    <t>Key person discount</t>
  </si>
  <si>
    <t>Peer Median</t>
  </si>
  <si>
    <t>Amortization and Depreciation</t>
  </si>
  <si>
    <t xml:space="preserve">New orders amount </t>
  </si>
  <si>
    <t>new orders</t>
  </si>
  <si>
    <t>items sold</t>
  </si>
  <si>
    <t>items in stock</t>
  </si>
  <si>
    <t>INVENTORY</t>
  </si>
  <si>
    <t>B line 3</t>
  </si>
  <si>
    <t>B line 4</t>
  </si>
  <si>
    <t>Min stock amount</t>
  </si>
  <si>
    <t>1st installment delay</t>
  </si>
  <si>
    <t>Vat Balance (no WC)</t>
  </si>
  <si>
    <t>Vat Balance (with WC)</t>
  </si>
  <si>
    <t>Growth Rate</t>
  </si>
  <si>
    <t>Ipotesi:</t>
  </si>
  <si>
    <t>+/- increase/decrease in Tax Payables</t>
  </si>
  <si>
    <t>crediti commerciali 2018 recuperati tra 2019 e 2020</t>
  </si>
  <si>
    <t>debiti commerciali 2018 pagati tra 2019 e 2020</t>
  </si>
  <si>
    <t>Tot. Capex</t>
  </si>
  <si>
    <t>RECEIVABLES (*)</t>
  </si>
  <si>
    <t>13) Financial Graphs</t>
  </si>
  <si>
    <t>12) Valuation</t>
  </si>
  <si>
    <t>Benchmarking Analysis</t>
  </si>
  <si>
    <t>Nome startup</t>
  </si>
  <si>
    <t xml:space="preserve">Link </t>
  </si>
  <si>
    <t>Settore</t>
  </si>
  <si>
    <t>Piattaforma</t>
  </si>
  <si>
    <t>Fatturato LTM</t>
  </si>
  <si>
    <t>Valutazione pre-money</t>
  </si>
  <si>
    <t>FORECASTED REVENUE</t>
  </si>
  <si>
    <t>FORECASTED EBITDA</t>
  </si>
  <si>
    <t>Y1 - Revenue</t>
  </si>
  <si>
    <t>Y1 - EV/Revenue</t>
  </si>
  <si>
    <t>Y2 - Revenue</t>
  </si>
  <si>
    <t>Y2 - EV/Revenue</t>
  </si>
  <si>
    <t>Y3 - Revenue</t>
  </si>
  <si>
    <t>Y3 - EV/Revenue</t>
  </si>
  <si>
    <t>Y1 - EBITDA</t>
  </si>
  <si>
    <t>Y1 - EV/EBITDA</t>
  </si>
  <si>
    <t>Y2 - EBITDA</t>
  </si>
  <si>
    <t>Y2 - EV/EBITDA</t>
  </si>
  <si>
    <t>Y3 - EBITDA</t>
  </si>
  <si>
    <t>Y3 - EV/EBITDA</t>
  </si>
  <si>
    <t>&lt; €100K</t>
  </si>
  <si>
    <t>MEDIA</t>
  </si>
  <si>
    <t>MEDIANA</t>
  </si>
  <si>
    <t>Cost per acquisition (CPA) clients</t>
  </si>
  <si>
    <t>Growth rate</t>
  </si>
  <si>
    <t>Equipment</t>
  </si>
  <si>
    <t>Hardware</t>
  </si>
  <si>
    <t>Trademark &amp; Patents</t>
  </si>
  <si>
    <t>Properties</t>
  </si>
  <si>
    <t>CTO</t>
  </si>
  <si>
    <t>Furnitures</t>
  </si>
  <si>
    <t>Startup Cost</t>
  </si>
  <si>
    <t>R&amp;D (includes consulting expensens for R&amp;D)</t>
  </si>
  <si>
    <t>Utilities</t>
  </si>
  <si>
    <t>Cost for advertising online</t>
  </si>
  <si>
    <t xml:space="preserve">Intangible investment </t>
  </si>
  <si>
    <t>Tangible investment</t>
  </si>
  <si>
    <t xml:space="preserve">Travel expenses </t>
  </si>
  <si>
    <t>Other expenses</t>
  </si>
  <si>
    <t xml:space="preserve"> </t>
  </si>
  <si>
    <t>Software and software license</t>
  </si>
  <si>
    <t>Consulting &amp; Administratives</t>
  </si>
  <si>
    <t>B2C line</t>
  </si>
  <si>
    <t>B2B line</t>
  </si>
  <si>
    <t xml:space="preserve">B2C line </t>
  </si>
  <si>
    <t xml:space="preserve">B2B  line </t>
  </si>
  <si>
    <t>CEO</t>
  </si>
  <si>
    <t>Online Marketing Budget</t>
  </si>
  <si>
    <t>B2B Market</t>
  </si>
  <si>
    <t>B2C Market</t>
  </si>
  <si>
    <t>SOM as % of SAM</t>
  </si>
  <si>
    <t xml:space="preserve">TAM </t>
  </si>
  <si>
    <t>SOM</t>
  </si>
  <si>
    <t>SAM</t>
  </si>
  <si>
    <t>Other Assumptions</t>
  </si>
  <si>
    <t>% of R&amp;D</t>
  </si>
  <si>
    <t>R&amp;D (HR)</t>
  </si>
  <si>
    <t>Insurances</t>
  </si>
  <si>
    <t>Revenue per amount invested</t>
  </si>
  <si>
    <t>Receivables</t>
  </si>
  <si>
    <t>Payables</t>
  </si>
  <si>
    <t>COSTS BREAKDOWN (COGS + OPEX)</t>
  </si>
  <si>
    <t>5. HR</t>
  </si>
  <si>
    <t>1. COGS</t>
  </si>
  <si>
    <t>2. Marketing</t>
  </si>
  <si>
    <t>3. IT</t>
  </si>
  <si>
    <t>4. G&amp;A</t>
  </si>
  <si>
    <t>Monthly interests</t>
  </si>
  <si>
    <t>2) Revenue Funnel</t>
  </si>
  <si>
    <t>3) IVA</t>
  </si>
  <si>
    <t>2) Assegni, Denaro, valori in cassa e C/C bancario</t>
  </si>
  <si>
    <t>7) IVA</t>
  </si>
  <si>
    <t xml:space="preserve">    - esigibili entro l'esercizio successivo</t>
  </si>
  <si>
    <t>3) altri debiti / acconti</t>
  </si>
  <si>
    <t>TOT. RECEIVABLES (no deferral)</t>
  </si>
  <si>
    <t>TOT. RECEIVABLES (with deferral*)</t>
  </si>
  <si>
    <t>TOT. PAYABLES (with deferral**)</t>
  </si>
  <si>
    <t>PAYABLES (**)</t>
  </si>
  <si>
    <t>TOT. PAYABLES (no deferral)</t>
  </si>
  <si>
    <t>Capex</t>
  </si>
  <si>
    <t>Assets</t>
  </si>
  <si>
    <t>Payables paid (-HR)</t>
  </si>
  <si>
    <t>Dilution adjustment (2nd round)</t>
  </si>
  <si>
    <t>Post money value at 2nd round</t>
  </si>
  <si>
    <t>Pre money value at 2nd round</t>
  </si>
  <si>
    <t>Dilution adjustment (3rd round)</t>
  </si>
  <si>
    <t>Post money value at 3rd round</t>
  </si>
  <si>
    <t>Pre money value at 3rd round</t>
  </si>
  <si>
    <t>Dilution adjustment (4th round)</t>
  </si>
  <si>
    <t>Post money value at 4th round</t>
  </si>
  <si>
    <t>Pre money value at 4th round</t>
  </si>
  <si>
    <t>Divergence effect</t>
  </si>
  <si>
    <t>= 1/(dilution adjustment 2nd round*dilution adjustment 3rd round*dilution adjustement 4th round)</t>
  </si>
  <si>
    <t>Forecasted TV (Equity value)</t>
  </si>
  <si>
    <t>Expected TV (Equity value)</t>
  </si>
  <si>
    <t>Pre money valuation</t>
  </si>
  <si>
    <t>Total Cost of Equity</t>
  </si>
  <si>
    <t>D/E ratio for sector</t>
  </si>
  <si>
    <t>D/E ratio for our company</t>
  </si>
  <si>
    <t>Tax rate for sector</t>
  </si>
  <si>
    <t>Tax rate for our company</t>
  </si>
  <si>
    <t>Unlevered Beta for sector</t>
  </si>
  <si>
    <t>Total Unlevered Beta for sector</t>
  </si>
  <si>
    <t>Total Levered Beta</t>
  </si>
  <si>
    <t>Total Ke</t>
  </si>
  <si>
    <t>Forecasted Terminal Value (EV value)</t>
  </si>
  <si>
    <t>Company Forecasted Key Financials (last projection year)</t>
  </si>
  <si>
    <t>EV/SALES</t>
  </si>
  <si>
    <t>Forecasted TV (Enterprise Value)</t>
  </si>
  <si>
    <t>Comparables Analysis</t>
  </si>
  <si>
    <t>Company Name</t>
  </si>
  <si>
    <t>Illiquidity Discount</t>
  </si>
  <si>
    <t>RESTRICTED STOCK REGRESSION</t>
  </si>
  <si>
    <t>BID-ASK SPREAD REGRESSION</t>
  </si>
  <si>
    <t>Inputs</t>
  </si>
  <si>
    <t>Revenues =</t>
  </si>
  <si>
    <t>Base Discount for firm with $ 10 million revenue =</t>
  </si>
  <si>
    <t>Cash/Value =</t>
  </si>
  <si>
    <t>Size of block as % of stock outstanding =</t>
  </si>
  <si>
    <t>Trading Volume/ Value =</t>
  </si>
  <si>
    <t>Positive or Negative Earnings =</t>
  </si>
  <si>
    <t>Output</t>
  </si>
  <si>
    <t>Illiquidity Discount =</t>
  </si>
  <si>
    <t>fail</t>
  </si>
  <si>
    <t>0,00x</t>
  </si>
  <si>
    <t>modest losses</t>
  </si>
  <si>
    <t>0,25x - 1,00x</t>
  </si>
  <si>
    <t>meet or go above expectations</t>
  </si>
  <si>
    <t>1,00x - 5,00x</t>
  </si>
  <si>
    <t>over 5,00x</t>
  </si>
  <si>
    <t>GROWTH RATE YoY</t>
  </si>
  <si>
    <t>REVENUE</t>
  </si>
  <si>
    <t>-</t>
  </si>
  <si>
    <t>MONTHLY BURN RATE</t>
  </si>
  <si>
    <t>FUNDING</t>
  </si>
  <si>
    <t>TOT:</t>
  </si>
  <si>
    <t>Cap-Table Summary</t>
  </si>
  <si>
    <t>PRE-ROUND</t>
  </si>
  <si>
    <t>POST-ROUND - ONLY DILUITION FOR FOUNDERS</t>
  </si>
  <si>
    <t>Shareholder</t>
  </si>
  <si>
    <t>Nominal Share Capital</t>
  </si>
  <si>
    <t>Share Premium</t>
  </si>
  <si>
    <t>%</t>
  </si>
  <si>
    <t>New Funding</t>
  </si>
  <si>
    <t>New investors</t>
  </si>
  <si>
    <t>Pre-money valuation</t>
  </si>
  <si>
    <t>Post-money valuation</t>
  </si>
  <si>
    <t>Funding</t>
  </si>
  <si>
    <t>% of share capital after round</t>
  </si>
  <si>
    <t>Levered Beta for sector</t>
  </si>
  <si>
    <t>R (Correlation with the market)</t>
  </si>
  <si>
    <t>Filters used</t>
  </si>
  <si>
    <t>Key Words</t>
  </si>
  <si>
    <t>Business Model</t>
  </si>
  <si>
    <t>Marketplace / Commission</t>
  </si>
  <si>
    <t>Exit strategy</t>
  </si>
  <si>
    <t>IPO / Trade Sale</t>
  </si>
  <si>
    <t>EV / EBITDA</t>
  </si>
  <si>
    <t>Full research paper ------------------&gt;</t>
  </si>
  <si>
    <t>1st step: DETERMINATION OF THE FORECASTED TERMINAL VALUE</t>
  </si>
  <si>
    <t>EV / SALES</t>
  </si>
  <si>
    <t>SALES</t>
  </si>
  <si>
    <t>Sources: Eikon Thomson Reuters / Bloomberg / Dealroom.co / Crunchbase</t>
  </si>
  <si>
    <t>Sector Average</t>
  </si>
  <si>
    <t>2nd step: DETERMINATION OF THE EXPECTED TERMINAL VALUE</t>
  </si>
  <si>
    <t>Expected VC funds performances across the world</t>
  </si>
  <si>
    <t xml:space="preserve">= Forecasted Terminal Value (Enterprise Value)+Cash and marketable securities-Debt Outstanding </t>
  </si>
  <si>
    <t>= Forecasted TV*Expected Terminal Value Discount (Expected VC fund performances across the world)</t>
  </si>
  <si>
    <t xml:space="preserve">Sources: http://www.eif.org/news_centre/publications/eif_wp_41.pdf </t>
  </si>
  <si>
    <r>
      <t xml:space="preserve">The </t>
    </r>
    <r>
      <rPr>
        <b/>
        <i/>
        <sz val="12"/>
        <color theme="1"/>
        <rFont val="Calibri"/>
        <family val="2"/>
        <scheme val="minor"/>
      </rPr>
      <t xml:space="preserve">Bizplace valuation model </t>
    </r>
    <r>
      <rPr>
        <sz val="12"/>
        <color theme="1"/>
        <rFont val="Calibri"/>
        <family val="2"/>
        <scheme val="minor"/>
      </rPr>
      <t xml:space="preserve">determines the forecasted corporate valuation </t>
    </r>
    <r>
      <rPr>
        <b/>
        <sz val="12"/>
        <color theme="1"/>
        <rFont val="Calibri"/>
        <family val="2"/>
        <scheme val="minor"/>
      </rPr>
      <t>(FORECASTED TERMINAL VALUE)</t>
    </r>
    <r>
      <rPr>
        <sz val="12"/>
        <color theme="1"/>
        <rFont val="Calibri"/>
        <family val="2"/>
        <scheme val="minor"/>
      </rPr>
      <t xml:space="preserve"> by applying the multiples method to the company's projected Turnover </t>
    </r>
    <r>
      <rPr>
        <b/>
        <sz val="12"/>
        <color theme="1"/>
        <rFont val="Calibri"/>
        <family val="2"/>
        <scheme val="minor"/>
      </rPr>
      <t>(EV/SALES)</t>
    </r>
    <r>
      <rPr>
        <sz val="12"/>
        <color theme="1"/>
        <rFont val="Calibri"/>
        <family val="2"/>
        <scheme val="minor"/>
      </rPr>
      <t xml:space="preserve"> and EBITDA figures </t>
    </r>
    <r>
      <rPr>
        <b/>
        <sz val="12"/>
        <color theme="1"/>
        <rFont val="Calibri"/>
        <family val="2"/>
        <scheme val="minor"/>
      </rPr>
      <t>(EV/EBITDA)</t>
    </r>
    <r>
      <rPr>
        <sz val="12"/>
        <color theme="1"/>
        <rFont val="Calibri"/>
        <family val="2"/>
        <scheme val="minor"/>
      </rPr>
      <t xml:space="preserve"> and discounting the result for the limited liquidity of the capital </t>
    </r>
    <r>
      <rPr>
        <b/>
        <sz val="12"/>
        <color theme="1"/>
        <rFont val="Calibri"/>
        <family val="2"/>
        <scheme val="minor"/>
      </rPr>
      <t xml:space="preserve">(ILLIQUIDITY DISCOUNT) </t>
    </r>
    <r>
      <rPr>
        <sz val="12"/>
        <color theme="1"/>
        <rFont val="Calibri"/>
        <family val="2"/>
        <scheme val="minor"/>
      </rPr>
      <t xml:space="preserve">and for the impact on business resulting from the possible loss of key people in the team </t>
    </r>
    <r>
      <rPr>
        <b/>
        <sz val="12"/>
        <color theme="1"/>
        <rFont val="Calibri"/>
        <family val="2"/>
        <scheme val="minor"/>
      </rPr>
      <t>(KEY PERSON DISCOUNT).</t>
    </r>
    <r>
      <rPr>
        <sz val="12"/>
        <color theme="1"/>
        <rFont val="Calibri"/>
        <family val="2"/>
        <scheme val="minor"/>
      </rPr>
      <t xml:space="preserve"> The Forecasted Terminal Value, which represents the company's valuation if the business plan is respected, is subsequently weighted for the expected VC funds performances across the world </t>
    </r>
    <r>
      <rPr>
        <b/>
        <sz val="12"/>
        <color theme="1"/>
        <rFont val="Calibri"/>
        <family val="2"/>
        <scheme val="minor"/>
      </rPr>
      <t>(EXPECTED TERMINAL VALUE DISCOUNT)</t>
    </r>
    <r>
      <rPr>
        <sz val="12"/>
        <color theme="1"/>
        <rFont val="Calibri"/>
        <family val="2"/>
        <scheme val="minor"/>
      </rPr>
      <t xml:space="preserve">. The Expected Terminal Value is then corrected for the effect of dilution resulting from subsequent capital increases </t>
    </r>
    <r>
      <rPr>
        <b/>
        <sz val="12"/>
        <color theme="1"/>
        <rFont val="Calibri"/>
        <family val="2"/>
        <scheme val="minor"/>
      </rPr>
      <t>(DIVERGENCE EFFECT)</t>
    </r>
    <r>
      <rPr>
        <sz val="12"/>
        <color theme="1"/>
        <rFont val="Calibri"/>
        <family val="2"/>
        <scheme val="minor"/>
      </rPr>
      <t xml:space="preserve"> and discounted to the present time for the cost of equity of a private company </t>
    </r>
    <r>
      <rPr>
        <b/>
        <sz val="12"/>
        <color theme="1"/>
        <rFont val="Calibri"/>
        <family val="2"/>
        <scheme val="minor"/>
      </rPr>
      <t>(TOTAL COST OF EQUITY)</t>
    </r>
    <r>
      <rPr>
        <sz val="12"/>
        <color theme="1"/>
        <rFont val="Calibri"/>
        <family val="2"/>
        <scheme val="minor"/>
      </rPr>
      <t xml:space="preserve">. The result is the post-money valuation of the company to date </t>
    </r>
    <r>
      <rPr>
        <b/>
        <sz val="12"/>
        <color theme="1"/>
        <rFont val="Calibri"/>
        <family val="2"/>
        <scheme val="minor"/>
      </rPr>
      <t>(POST MONEY VALUATION)</t>
    </r>
    <r>
      <rPr>
        <sz val="12"/>
        <color theme="1"/>
        <rFont val="Calibri"/>
        <family val="2"/>
        <scheme val="minor"/>
      </rPr>
      <t xml:space="preserve">. The pre-money valuation </t>
    </r>
    <r>
      <rPr>
        <b/>
        <sz val="12"/>
        <color theme="1"/>
        <rFont val="Calibri"/>
        <family val="2"/>
        <scheme val="minor"/>
      </rPr>
      <t>(PRE-MONEY VALUATION)</t>
    </r>
    <r>
      <rPr>
        <sz val="12"/>
        <color theme="1"/>
        <rFont val="Calibri"/>
        <family val="2"/>
        <scheme val="minor"/>
      </rPr>
      <t xml:space="preserve"> is the difference between the post-money valuation and the equity investment at this round </t>
    </r>
    <r>
      <rPr>
        <b/>
        <sz val="12"/>
        <color theme="1"/>
        <rFont val="Calibri"/>
        <family val="2"/>
        <scheme val="minor"/>
      </rPr>
      <t>(FUNDING ROUND)</t>
    </r>
    <r>
      <rPr>
        <sz val="12"/>
        <color theme="1"/>
        <rFont val="Calibri"/>
        <family val="2"/>
        <scheme val="minor"/>
      </rPr>
      <t>.</t>
    </r>
  </si>
  <si>
    <t>3rd step: DETERMINATION OF THE POST-MONEY VALUATION</t>
  </si>
  <si>
    <t xml:space="preserve">Funding at 1st round </t>
  </si>
  <si>
    <t>Funding at 2nd round</t>
  </si>
  <si>
    <t>Funding at 3rd round</t>
  </si>
  <si>
    <t xml:space="preserve">Funding at 4th round </t>
  </si>
  <si>
    <t>Expected Terminal Value</t>
  </si>
  <si>
    <t>Exit period (years)</t>
  </si>
  <si>
    <r>
      <t>= (Expected TV/Divergence effect)/(1+tot.Ke)</t>
    </r>
    <r>
      <rPr>
        <b/>
        <sz val="12"/>
        <color theme="1"/>
        <rFont val="Calibri (Corpo)_x0000_"/>
        <family val="2"/>
      </rPr>
      <t>^Exit period</t>
    </r>
  </si>
  <si>
    <t>= Post money valuation - Funding round</t>
  </si>
  <si>
    <t>Funding round</t>
  </si>
  <si>
    <t>Equity sold to new investors</t>
  </si>
  <si>
    <t>= Funding Round / Post-money valuation</t>
  </si>
  <si>
    <t>4th step: DETERMINATION OF THE PRE-MONEY VALUATION</t>
  </si>
  <si>
    <t>VALUATION METHODOLOGY</t>
  </si>
  <si>
    <t>VALUATION ANALYSIS</t>
  </si>
  <si>
    <t xml:space="preserve"> BENCHMARKING ANALYSIS</t>
  </si>
  <si>
    <t>B2B Business - Booking</t>
  </si>
  <si>
    <t>Average Price</t>
  </si>
  <si>
    <t>% Buy Newsletter Pack</t>
  </si>
  <si>
    <t>% Buy Newsletter + Facebook Pack</t>
  </si>
  <si>
    <t>% Buy Newsletter + Facebook + Adv Pack</t>
  </si>
  <si>
    <t xml:space="preserve">SOM </t>
  </si>
  <si>
    <t>Stripe Commission Fee</t>
  </si>
  <si>
    <t>B2B Business - Digital Fair</t>
  </si>
  <si>
    <t># Events per year</t>
  </si>
  <si>
    <t>Basic Platform Price</t>
  </si>
  <si>
    <t>Shop Platform Price</t>
  </si>
  <si>
    <t>APP Price</t>
  </si>
  <si>
    <t>Domain Price</t>
  </si>
  <si>
    <t>Event Brand and Comunication</t>
  </si>
  <si>
    <t>Adv Management Cost</t>
  </si>
  <si>
    <t>English Translation Cost</t>
  </si>
  <si>
    <t>Domain Cost</t>
  </si>
  <si>
    <t>Shop Platform Cost</t>
  </si>
  <si>
    <t>Basic Platform Cost</t>
  </si>
  <si>
    <t>B2B Business - Shop</t>
  </si>
  <si>
    <t>Basic Subscription Price</t>
  </si>
  <si>
    <t>Top Subscription Price</t>
  </si>
  <si>
    <t>English Translation Price</t>
  </si>
  <si>
    <t>Event Brand and Comunication Price</t>
  </si>
  <si>
    <t>Adv Management Price</t>
  </si>
  <si>
    <t>15 day Showcase Price</t>
  </si>
  <si>
    <t>Facebook Adv Price</t>
  </si>
  <si>
    <t>30 day Showcase Price</t>
  </si>
  <si>
    <t>Average Product Cost Basic</t>
  </si>
  <si>
    <t>Average Product Cost Top</t>
  </si>
  <si>
    <t>Margin Product Top</t>
  </si>
  <si>
    <t>Margin Product Basic</t>
  </si>
  <si>
    <t>Margin Shipment</t>
  </si>
  <si>
    <t>Booking</t>
  </si>
  <si>
    <t># Events</t>
  </si>
  <si>
    <t>Revenue from Events</t>
  </si>
  <si>
    <t>Revenue from Newsletter Pack</t>
  </si>
  <si>
    <t>Revenue from NL+Facebook Pack</t>
  </si>
  <si>
    <t>Revenue from NL+FB+Adv</t>
  </si>
  <si>
    <t>Total Revenue Booking</t>
  </si>
  <si>
    <t># Events Total</t>
  </si>
  <si>
    <t># of New Events per year</t>
  </si>
  <si>
    <t>Digital Fair</t>
  </si>
  <si>
    <t># Fairs</t>
  </si>
  <si>
    <t>Shop</t>
  </si>
  <si>
    <t>Clients from Online</t>
  </si>
  <si>
    <t>Organic Growth Rate</t>
  </si>
  <si>
    <t>Organic New Clients</t>
  </si>
  <si>
    <t>CUMULATIVE Number Sellers Basic</t>
  </si>
  <si>
    <t>CUMULATIVE Number Sellers Top</t>
  </si>
  <si>
    <t>New Sellers Basic</t>
  </si>
  <si>
    <t>New Sellers Top</t>
  </si>
  <si>
    <t>Revenue from SHOP Subscriptions</t>
  </si>
  <si>
    <t>% Buy Facebook Adv</t>
  </si>
  <si>
    <t>% Buy 15 day Showcase</t>
  </si>
  <si>
    <t>% Buy 30 day Showcase</t>
  </si>
  <si>
    <t>Sellers Buy FB</t>
  </si>
  <si>
    <t>Sellers Buy 15 day</t>
  </si>
  <si>
    <t>Sellers Buy 30 day</t>
  </si>
  <si>
    <t>Revenue from Upselling</t>
  </si>
  <si>
    <t>Marketing Budget Shop</t>
  </si>
  <si>
    <t>Revenue from product sales</t>
  </si>
  <si>
    <t>% Product Sold Basic</t>
  </si>
  <si>
    <t>% Product Sold Top</t>
  </si>
  <si>
    <t>Shipping reimbursement</t>
  </si>
  <si>
    <t>Total Revenue SHOP</t>
  </si>
  <si>
    <t>% Margin on Candidates</t>
  </si>
  <si>
    <t>% Margin on Adv</t>
  </si>
  <si>
    <t>Stripe Commission</t>
  </si>
  <si>
    <t>Ads for Booking</t>
  </si>
  <si>
    <t>Digital Fair Cost</t>
  </si>
  <si>
    <t>% Margin Fb Adv</t>
  </si>
  <si>
    <t>Revenue from Basic Products</t>
  </si>
  <si>
    <t>Revenue from Top Product</t>
  </si>
  <si>
    <t>Rent Expenses</t>
  </si>
  <si>
    <r>
      <t>The present document has the purpose of describing the financial situation of the C</t>
    </r>
    <r>
      <rPr>
        <sz val="12"/>
        <color theme="1"/>
        <rFont val="Calibri"/>
        <family val="2"/>
        <scheme val="minor"/>
      </rPr>
      <t>ompany</t>
    </r>
    <r>
      <rPr>
        <b/>
        <sz val="12"/>
        <color theme="1"/>
        <rFont val="Calibri"/>
        <family val="2"/>
        <scheme val="minor"/>
      </rPr>
      <t xml:space="preserve">  </t>
    </r>
    <r>
      <rPr>
        <sz val="12"/>
        <color theme="1"/>
        <rFont val="Calibri"/>
        <family val="2"/>
        <scheme val="minor"/>
      </rPr>
      <t xml:space="preserve">over a period of </t>
    </r>
    <r>
      <rPr>
        <b/>
        <sz val="12"/>
        <color theme="1"/>
        <rFont val="Calibri"/>
        <family val="2"/>
        <scheme val="minor"/>
      </rPr>
      <t>5 years.</t>
    </r>
    <r>
      <rPr>
        <sz val="12"/>
        <color theme="1"/>
        <rFont val="Calibri"/>
        <family val="2"/>
        <scheme val="minor"/>
      </rPr>
      <t xml:space="preserve"> Taking as a starting point the results obtained through market tests and/or past revenue, a higher growth rate and an increase in prospective numbers have been predicted both in terms of cost and revenue.                                                                                                                                                                                                             
The Excel pages present in this document have the main objective of highlighting:                                                                                                                 
1. The money required by the company in order to operate in the market.                                                                                                                                
2. The profitability of the company's distinctive management style.
3. Its pre and post-money valuation through a study of multiple and comparable factors in similar companies.                                                                                                                                                                    
For any clarification, explanation or more information, please consult the associated Investment Memorandum/Pitch or contact BizPlace Holding Consulting.                                </t>
    </r>
  </si>
  <si>
    <r>
      <t xml:space="preserve">This business plan contains confidential information regarding </t>
    </r>
    <r>
      <rPr>
        <b/>
        <sz val="12"/>
        <color theme="1"/>
        <rFont val="Calibri"/>
        <family val="2"/>
        <scheme val="minor"/>
      </rPr>
      <t>Getastand Srl ("Getastand" or "the Company").</t>
    </r>
    <r>
      <rPr>
        <sz val="12"/>
        <color theme="1"/>
        <rFont val="Calibri"/>
        <family val="2"/>
        <scheme val="minor"/>
      </rPr>
      <t xml:space="preserve"> By accepting this memorandum the recipient agrees that it will cause its directors, officers, employees and representatives to use the memorandum and such information only to evaluate a specific transaction with the Company and for no other purpose, will not divulge any such information to any other party and shall return this memorandum together with any copies thereof and of such information to the Company upon request therefor. 
The information contained in this memorandum was obtained from the Company and other sources. Any estimates and projections contained herein have been prepared by the analysis which may or may not be correct. Neither the Company or BizPlace Holding Srl make any representation or warranty, expressed or implied, as to the accuracy or completeness of the information contained in this memorandum, and nothing contained herein is, or shall be relied upon as, a promise or representation, whether as to the past or the future. This memorandum does not purport to contain all of the information that may be required to evaluate such a transaction and any recipient hereof should conduct its own independent analysis of the Company and the data contained and referred to herein. BizPlace Holding Srl has not independently verified any of such information and assumes no responsibility for its accuracy or completeness. BizPlace Holding Srl does not expect to update or otherwise revise or other materials supplied herewith.</t>
    </r>
  </si>
  <si>
    <t># Successful Candidates</t>
  </si>
  <si>
    <t>COO</t>
  </si>
  <si>
    <t>CFO</t>
  </si>
  <si>
    <t>Sales Manager</t>
  </si>
  <si>
    <t>Business Developer</t>
  </si>
  <si>
    <t>Junior Developer</t>
  </si>
  <si>
    <t>CMO</t>
  </si>
  <si>
    <t>Marketing Specialist</t>
  </si>
  <si>
    <t>Account Manager</t>
  </si>
  <si>
    <t>Events and PR</t>
  </si>
  <si>
    <t>Shipping</t>
  </si>
  <si>
    <t>Server</t>
  </si>
  <si>
    <t>Camillo Castellani</t>
  </si>
  <si>
    <t>Paolo Castioni</t>
  </si>
  <si>
    <t>Biagio Castellani</t>
  </si>
  <si>
    <t>Commission for Exhibition Space Provider</t>
  </si>
  <si>
    <t>Shipping Cost</t>
  </si>
  <si>
    <t>Booking, Digital Fair, Shop</t>
  </si>
  <si>
    <t>Live Nation Entertainment</t>
  </si>
  <si>
    <t>Eventbrite</t>
  </si>
  <si>
    <t>Tripadvisor</t>
  </si>
  <si>
    <t>EV</t>
  </si>
  <si>
    <t>Amadeus</t>
  </si>
  <si>
    <t>Booking Holdings</t>
  </si>
  <si>
    <t>Expedia Group</t>
  </si>
  <si>
    <t>Sabre Corp</t>
  </si>
  <si>
    <t>Risk free rate (July 2020)</t>
  </si>
  <si>
    <t>ERP ITA (July 2020)</t>
  </si>
  <si>
    <t>Entertainment</t>
  </si>
  <si>
    <t xml:space="preserve">Average # Candidates for Events </t>
  </si>
  <si>
    <t xml:space="preserve">Cumulative # Candidates for Events </t>
  </si>
  <si>
    <t xml:space="preserve">% Buy Adv Management </t>
  </si>
  <si>
    <t>% Buy Event Brand and Comunication</t>
  </si>
  <si>
    <t>% Buy English Translation</t>
  </si>
  <si>
    <t>% Buy Domain</t>
  </si>
  <si>
    <t>% Buy APP</t>
  </si>
  <si>
    <t>Newsletter Pack Price/month</t>
  </si>
  <si>
    <t>Newsletter + Facebook Pack Price/month</t>
  </si>
  <si>
    <t>Newsletter + Facebook + Adv Pack Price/month</t>
  </si>
  <si>
    <t>Average Item per Order</t>
  </si>
  <si>
    <t>Management Compensation</t>
  </si>
  <si>
    <t>Total Revenue from Digital Fairs</t>
  </si>
  <si>
    <t>Equiticket</t>
  </si>
  <si>
    <t xml:space="preserve">https://www.opstart.it/progetto/equiticket/ </t>
  </si>
  <si>
    <t>E-commerce / Marketplace</t>
  </si>
  <si>
    <t>OpStart</t>
  </si>
  <si>
    <t>NA</t>
  </si>
  <si>
    <t>Japal</t>
  </si>
  <si>
    <t>https://www.opstart.it/progetto/japal/</t>
  </si>
  <si>
    <t>&gt; €500K</t>
  </si>
  <si>
    <t>0brand</t>
  </si>
  <si>
    <t>https://www.wearestarting.it/offering/0brand</t>
  </si>
  <si>
    <t>We Are Starting</t>
  </si>
  <si>
    <t>tra €100K e €500K</t>
  </si>
  <si>
    <t>RD24</t>
  </si>
  <si>
    <t>https://www.backtowork24.com/online-campaign.php?c=72-rd24</t>
  </si>
  <si>
    <t>Back to work 24</t>
  </si>
  <si>
    <t>N.A.</t>
  </si>
  <si>
    <t>Getastand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</si>
</sst>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8" formatCode="#,##0.00\ &quot;€&quot;;[Red]\-#,##0.00\ &quot;€&quot;"/>
    <numFmt numFmtId="44" formatCode="_-* #,##0.00\ &quot;€&quot;_-;\-* #,##0.00\ &quot;€&quot;_-;_-* &quot;-&quot;??\ &quot;€&quot;_-;_-@_-"/>
    <numFmt numFmtId="164" formatCode="_-* #,##0.00\ _€_-;\-* #,##0.00\ _€_-;_-* &quot;-&quot;??\ _€_-;_-@_-"/>
    <numFmt numFmtId="165" formatCode="_-* #,##0_-;\-* #,##0_-;_-* &quot;-&quot;??_-;_-@_-"/>
    <numFmt numFmtId="166" formatCode="#,##0.00\ &quot;€&quot;"/>
    <numFmt numFmtId="167" formatCode="0.0%"/>
    <numFmt numFmtId="168" formatCode="_-* #,##0\ _€_-;\-* #,##0\ _€_-;_-* &quot;-&quot;??\ _€_-;_-@_-"/>
    <numFmt numFmtId="169" formatCode="_-* #,##0\ &quot;€&quot;_-;\-* #,##0\ &quot;€&quot;_-;_-* &quot;-&quot;??\ &quot;€&quot;_-;_-@_-"/>
    <numFmt numFmtId="170" formatCode="[Green]#,##0\ ;[Red]\-#,##0\ "/>
    <numFmt numFmtId="171" formatCode="_-[$€-410]\ * #,##0.00_-;\-[$€-410]\ * #,##0.00_-;_-[$€-410]\ * &quot;-&quot;??_-;_-@_-"/>
    <numFmt numFmtId="172" formatCode="#,###.0\x"/>
    <numFmt numFmtId="173" formatCode="_-* #,##0.00000\ _€_-;\-* #,##0.00000\ _€_-;_-* &quot;-&quot;??\ _€_-;_-@_-"/>
    <numFmt numFmtId="174" formatCode="_-* #,##0.00\ _€_-;\-* #,##0.00\ _€_-;_-* &quot;-&quot;?????\ _€_-;_-@_-"/>
    <numFmt numFmtId="175" formatCode="#,##0\ &quot;€&quot;"/>
    <numFmt numFmtId="176" formatCode="[$-410]mmm\-yy;@"/>
    <numFmt numFmtId="177" formatCode="_-* #,##0.000\ _€_-;\-* #,##0.000\ _€_-;_-* &quot;-&quot;??\ _€_-;_-@_-"/>
    <numFmt numFmtId="178" formatCode="_([$€-2]\ * #,##0.00_);_([$€-2]\ * \(#,##0.00\);_([$€-2]\ * &quot;-&quot;??_);_(@_)"/>
    <numFmt numFmtId="179" formatCode="0.000%"/>
    <numFmt numFmtId="180" formatCode="_-* #,##0.000\ &quot;€&quot;_-;\-* #,##0.000\ &quot;€&quot;_-;_-* &quot;-&quot;??\ &quot;€&quot;_-;_-@_-"/>
    <numFmt numFmtId="181" formatCode="_-* #,##0.0000000\ &quot;€&quot;_-;\-* #,##0.0000000\ &quot;€&quot;_-;_-* &quot;-&quot;??\ &quot;€&quot;_-;_-@_-"/>
    <numFmt numFmtId="182" formatCode="_-* #,##0.0000000000\ _€_-;\-* #,##0.0000000000\ _€_-;_-* &quot;-&quot;??\ _€_-;_-@_-"/>
    <numFmt numFmtId="183" formatCode="#,###.00\x"/>
    <numFmt numFmtId="184" formatCode="[Green]#,##0\ &quot;€&quot;\ ;[Red]\-#,##0\ &quot;€&quot;\ "/>
    <numFmt numFmtId="185" formatCode="_-[$£-809]* #,##0.00_-;\-[$£-809]* #,##0.00_-;_-[$£-809]* &quot;-&quot;??_-;_-@_-"/>
    <numFmt numFmtId="186" formatCode="0.0"/>
    <numFmt numFmtId="187" formatCode="_-* #,##0.0000\ &quot;€&quot;_-;\-* #,##0.0000\ &quot;€&quot;_-;_-* &quot;-&quot;??\ &quot;€&quot;_-;_-@_-"/>
    <numFmt numFmtId="188" formatCode="#,##0\ [$€-410]"/>
  </numFmts>
  <fonts count="125">
    <font>
      <sz val="12"/>
      <color theme="1"/>
      <name val="Calibri"/>
      <family val="2"/>
      <scheme val="minor"/>
    </font>
    <font>
      <sz val="10"/>
      <name val="Arial"/>
      <family val="2"/>
    </font>
    <font>
      <sz val="11"/>
      <color theme="1"/>
      <name val="Calibri"/>
      <family val="2"/>
      <scheme val="minor"/>
    </font>
    <font>
      <u val="single"/>
      <sz val="12"/>
      <color theme="10"/>
      <name val="Calibri"/>
      <family val="2"/>
      <scheme val="minor"/>
    </font>
    <font>
      <u val="single"/>
      <sz val="12"/>
      <color theme="1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rgb="FF000000"/>
      <name val="Calibri"/>
      <family val="2"/>
      <scheme val="minor"/>
    </font>
    <font>
      <sz val="12"/>
      <color theme="0" tint="-0.4999699890613556"/>
      <name val="Calibri"/>
      <family val="2"/>
      <scheme val="minor"/>
    </font>
    <font>
      <b/>
      <sz val="12"/>
      <name val="Calibri"/>
      <family val="2"/>
      <scheme val="minor"/>
    </font>
    <font>
      <sz val="9"/>
      <color theme="1"/>
      <name val="Calibri"/>
      <family val="2"/>
      <scheme val="minor"/>
    </font>
    <font>
      <sz val="26"/>
      <color theme="3"/>
      <name val="Cambria"/>
      <family val="2"/>
      <scheme val="major"/>
    </font>
    <font>
      <sz val="14"/>
      <color theme="3"/>
      <name val="Cambria"/>
      <family val="2"/>
      <scheme val="major"/>
    </font>
    <font>
      <sz val="24"/>
      <color theme="3"/>
      <name val="Cambria"/>
      <family val="2"/>
      <scheme val="major"/>
    </font>
    <font>
      <sz val="11"/>
      <color theme="3"/>
      <name val="Cambria"/>
      <family val="2"/>
      <scheme val="major"/>
    </font>
    <font>
      <sz val="11"/>
      <color theme="1"/>
      <name val="Arial"/>
      <family val="2"/>
    </font>
    <font>
      <b/>
      <sz val="11"/>
      <color theme="1"/>
      <name val="Arial"/>
      <family val="2"/>
    </font>
    <font>
      <b/>
      <sz val="11"/>
      <color rgb="FFC00000"/>
      <name val="Arial"/>
      <family val="2"/>
    </font>
    <font>
      <b/>
      <sz val="11"/>
      <color rgb="FF0070C0"/>
      <name val="Arial"/>
      <family val="2"/>
    </font>
    <font>
      <sz val="12"/>
      <color rgb="FF0432FF"/>
      <name val="Calibri"/>
      <family val="2"/>
      <scheme val="minor"/>
    </font>
    <font>
      <sz val="14"/>
      <color rgb="FF0432FF"/>
      <name val="Calibri"/>
      <family val="2"/>
      <scheme val="minor"/>
    </font>
    <font>
      <b/>
      <i/>
      <sz val="14"/>
      <color rgb="FFC00000"/>
      <name val="Calibri"/>
      <family val="2"/>
      <scheme val="minor"/>
    </font>
    <font>
      <i/>
      <sz val="12"/>
      <color theme="1"/>
      <name val="Calibri"/>
      <family val="2"/>
      <scheme val="minor"/>
    </font>
    <font>
      <sz val="12"/>
      <color theme="0"/>
      <name val="Calibri"/>
      <family val="2"/>
      <scheme val="minor"/>
    </font>
    <font>
      <b/>
      <sz val="12"/>
      <color theme="0" tint="-0.4999699890613556"/>
      <name val="Calibri"/>
      <family val="2"/>
      <scheme val="minor"/>
    </font>
    <font>
      <b/>
      <sz val="12"/>
      <color rgb="FF000000"/>
      <name val="Calibri"/>
      <family val="2"/>
      <scheme val="minor"/>
    </font>
    <font>
      <i/>
      <sz val="12"/>
      <color theme="0" tint="-0.4999699890613556"/>
      <name val="Calibri"/>
      <family val="2"/>
      <scheme val="minor"/>
    </font>
    <font>
      <b/>
      <sz val="14"/>
      <color theme="0"/>
      <name val="Calibri"/>
      <family val="2"/>
      <scheme val="minor"/>
    </font>
    <font>
      <b/>
      <sz val="12"/>
      <color theme="0"/>
      <name val="Calibri"/>
      <family val="2"/>
      <scheme val="minor"/>
    </font>
    <font>
      <b/>
      <u val="single"/>
      <sz val="12"/>
      <color theme="1"/>
      <name val="Calibri"/>
      <family val="2"/>
      <scheme val="minor"/>
    </font>
    <font>
      <b/>
      <u val="single"/>
      <sz val="12"/>
      <color rgb="FF000000"/>
      <name val="Calibri"/>
      <family val="2"/>
      <scheme val="minor"/>
    </font>
    <font>
      <sz val="12"/>
      <name val="Calibri"/>
      <family val="2"/>
      <scheme val="minor"/>
    </font>
    <font>
      <b/>
      <sz val="12"/>
      <color rgb="FF0070C0"/>
      <name val="Calibri"/>
      <family val="2"/>
      <scheme val="minor"/>
    </font>
    <font>
      <i/>
      <sz val="12"/>
      <color rgb="FF186FC0"/>
      <name val="Calibri"/>
      <family val="2"/>
      <scheme val="minor"/>
    </font>
    <font>
      <i/>
      <sz val="12"/>
      <color rgb="FF00B050"/>
      <name val="Calibri"/>
      <family val="2"/>
      <scheme val="minor"/>
    </font>
    <font>
      <sz val="12"/>
      <color rgb="FF0000FF"/>
      <name val="Calibri"/>
      <family val="2"/>
      <scheme val="minor"/>
    </font>
    <font>
      <sz val="10"/>
      <color rgb="FF000000"/>
      <name val="Tahoma"/>
      <family val="2"/>
    </font>
    <font>
      <b/>
      <sz val="12"/>
      <color rgb="FF0432FF"/>
      <name val="Calibri"/>
      <family val="2"/>
      <scheme val="minor"/>
    </font>
    <font>
      <b/>
      <sz val="14"/>
      <color rgb="FFC00000"/>
      <name val="Calibri"/>
      <family val="2"/>
      <scheme val="minor"/>
    </font>
    <font>
      <b/>
      <sz val="12"/>
      <color rgb="FFC00000"/>
      <name val="Calibri"/>
      <family val="2"/>
      <scheme val="minor"/>
    </font>
    <font>
      <b/>
      <sz val="18"/>
      <color rgb="FF186FC0"/>
      <name val="Arial "/>
      <family val="2"/>
    </font>
    <font>
      <b/>
      <sz val="12"/>
      <color rgb="FF186FC0"/>
      <name val="Arial"/>
      <family val="2"/>
    </font>
    <font>
      <b/>
      <sz val="10"/>
      <name val="Arial"/>
      <family val="2"/>
    </font>
    <font>
      <b/>
      <sz val="12"/>
      <name val="Arial"/>
      <family val="2"/>
    </font>
    <font>
      <b/>
      <sz val="12"/>
      <color theme="0"/>
      <name val="Arial"/>
      <family val="2"/>
    </font>
    <font>
      <b/>
      <sz val="10"/>
      <color theme="0"/>
      <name val="Arial"/>
      <family val="2"/>
    </font>
    <font>
      <b/>
      <sz val="11"/>
      <name val="Arial"/>
      <family val="2"/>
    </font>
    <font>
      <i/>
      <sz val="10"/>
      <color theme="1"/>
      <name val="Arial"/>
      <family val="2"/>
    </font>
    <font>
      <b/>
      <i/>
      <sz val="10"/>
      <name val="Arial"/>
      <family val="2"/>
    </font>
    <font>
      <i/>
      <sz val="10"/>
      <name val="Arial"/>
      <family val="2"/>
    </font>
    <font>
      <b/>
      <sz val="11"/>
      <color indexed="8"/>
      <name val="Calibri"/>
      <family val="2"/>
    </font>
    <font>
      <b/>
      <sz val="16"/>
      <name val="Arial"/>
      <family val="2"/>
    </font>
    <font>
      <b/>
      <sz val="10"/>
      <color rgb="FF000000"/>
      <name val="Calibri"/>
      <family val="2"/>
    </font>
    <font>
      <sz val="10"/>
      <color rgb="FF000000"/>
      <name val="Calibri"/>
      <family val="2"/>
    </font>
    <font>
      <i/>
      <sz val="14"/>
      <color theme="1"/>
      <name val="Calibri"/>
      <family val="2"/>
      <scheme val="minor"/>
    </font>
    <font>
      <sz val="14"/>
      <color rgb="FFC00000"/>
      <name val="Calibri"/>
      <family val="2"/>
      <scheme val="minor"/>
    </font>
    <font>
      <sz val="20"/>
      <color theme="1"/>
      <name val="Calibri"/>
      <family val="2"/>
      <scheme val="minor"/>
    </font>
    <font>
      <b/>
      <i/>
      <sz val="12"/>
      <color theme="1"/>
      <name val="Calibri"/>
      <family val="2"/>
      <scheme val="minor"/>
    </font>
    <font>
      <sz val="14"/>
      <color theme="0"/>
      <name val="Calibri"/>
      <family val="2"/>
      <scheme val="minor"/>
    </font>
    <font>
      <b/>
      <i/>
      <sz val="14"/>
      <color theme="1"/>
      <name val="Calibri"/>
      <family val="2"/>
      <scheme val="minor"/>
    </font>
    <font>
      <i/>
      <sz val="12"/>
      <color rgb="FF0432FF"/>
      <name val="Calibri"/>
      <family val="2"/>
      <scheme val="minor"/>
    </font>
    <font>
      <sz val="11"/>
      <color rgb="FF0432FF"/>
      <name val="Arial"/>
      <family val="2"/>
    </font>
    <font>
      <sz val="12"/>
      <name val="Calibri"/>
      <family val="2"/>
    </font>
    <font>
      <b/>
      <sz val="9"/>
      <color rgb="FF000000"/>
      <name val="Geneva"/>
      <family val="2"/>
    </font>
    <font>
      <sz val="9"/>
      <color rgb="FF000000"/>
      <name val="Geneva"/>
      <family val="2"/>
    </font>
    <font>
      <i/>
      <sz val="14"/>
      <color rgb="FF0432FF"/>
      <name val="Calibri"/>
      <family val="2"/>
      <scheme val="minor"/>
    </font>
    <font>
      <i/>
      <sz val="14"/>
      <color theme="0"/>
      <name val="Calibri"/>
      <family val="2"/>
      <scheme val="minor"/>
    </font>
    <font>
      <sz val="10"/>
      <color rgb="FF0432FF"/>
      <name val="Arial"/>
      <family val="2"/>
    </font>
    <font>
      <i/>
      <sz val="10"/>
      <color rgb="FF0432FF"/>
      <name val="Arial"/>
      <family val="2"/>
    </font>
    <font>
      <sz val="11"/>
      <color rgb="FF000000"/>
      <name val="Calibri"/>
      <family val="2"/>
      <scheme val="minor"/>
    </font>
    <font>
      <sz val="10"/>
      <color theme="1"/>
      <name val="Arial"/>
      <family val="2"/>
    </font>
    <font>
      <b/>
      <sz val="10"/>
      <color theme="1"/>
      <name val="Arial"/>
      <family val="2"/>
    </font>
    <font>
      <sz val="10"/>
      <color theme="1"/>
      <name val="Perpetua"/>
      <family val="1"/>
    </font>
    <font>
      <sz val="10"/>
      <color theme="1"/>
      <name val="Calibri"/>
      <family val="2"/>
      <scheme val="minor"/>
    </font>
    <font>
      <b/>
      <sz val="10"/>
      <color rgb="FF0058B0"/>
      <name val="Perpetua"/>
      <family val="1"/>
    </font>
    <font>
      <b/>
      <sz val="10"/>
      <color theme="1"/>
      <name val="Perpetua"/>
      <family val="1"/>
    </font>
    <font>
      <b/>
      <sz val="12"/>
      <color rgb="FF000000"/>
      <name val="Calibri"/>
      <family val="2"/>
    </font>
    <font>
      <b/>
      <sz val="12"/>
      <color rgb="FFC00000"/>
      <name val="Calibri"/>
      <family val="2"/>
    </font>
    <font>
      <sz val="11"/>
      <color rgb="FF000000"/>
      <name val="Arial"/>
      <family val="2"/>
    </font>
    <font>
      <b/>
      <sz val="12"/>
      <color rgb="FF002060"/>
      <name val="Calibri"/>
      <family val="2"/>
    </font>
    <font>
      <b/>
      <sz val="11"/>
      <color rgb="FF002060"/>
      <name val="Arial"/>
      <family val="2"/>
    </font>
    <font>
      <u val="single"/>
      <sz val="12"/>
      <color theme="0"/>
      <name val="Calibri"/>
      <family val="2"/>
    </font>
    <font>
      <sz val="12"/>
      <color theme="0"/>
      <name val="Calibri"/>
      <family val="2"/>
    </font>
    <font>
      <sz val="11"/>
      <color theme="0"/>
      <name val="Arial"/>
      <family val="2"/>
    </font>
    <font>
      <sz val="14"/>
      <name val="Calibri"/>
      <family val="2"/>
      <scheme val="minor"/>
    </font>
    <font>
      <sz val="12"/>
      <color rgb="FF00B050"/>
      <name val="Calibri"/>
      <family val="2"/>
      <scheme val="minor"/>
    </font>
    <font>
      <sz val="12"/>
      <color rgb="FF00B0F0"/>
      <name val="Calibri"/>
      <family val="2"/>
      <scheme val="minor"/>
    </font>
    <font>
      <b/>
      <sz val="9"/>
      <color rgb="FF000000"/>
      <name val="Tahoma"/>
      <family val="2"/>
    </font>
    <font>
      <sz val="9"/>
      <color rgb="FF000000"/>
      <name val="Tahoma"/>
      <family val="2"/>
    </font>
    <font>
      <i/>
      <sz val="12"/>
      <color rgb="FF808080"/>
      <name val="Calibri"/>
      <family val="2"/>
      <scheme val="minor"/>
    </font>
    <font>
      <sz val="12"/>
      <color rgb="FFFF0000"/>
      <name val="Calibri"/>
      <family val="2"/>
      <scheme val="minor"/>
    </font>
    <font>
      <b/>
      <u val="single"/>
      <sz val="12"/>
      <color rgb="FF002060"/>
      <name val="Calibri"/>
      <family val="2"/>
      <scheme val="minor"/>
    </font>
    <font>
      <u val="single"/>
      <sz val="12"/>
      <color theme="1"/>
      <name val="Calibri"/>
      <family val="2"/>
      <scheme val="minor"/>
    </font>
    <font>
      <sz val="12"/>
      <color theme="1"/>
      <name val="Calibri (Corpo)_x0000_"/>
      <family val="2"/>
    </font>
    <font>
      <b/>
      <sz val="12"/>
      <color theme="1"/>
      <name val="Calibri (Corpo)_x0000_"/>
      <family val="2"/>
    </font>
    <font>
      <sz val="12"/>
      <color theme="1"/>
      <name val="Calibri"/>
      <family val="2"/>
    </font>
    <font>
      <b/>
      <sz val="12"/>
      <name val="Calibri"/>
      <family val="2"/>
    </font>
    <font>
      <sz val="12"/>
      <color rgb="FF0432FF"/>
      <name val="Calibri"/>
      <family val="2"/>
    </font>
    <font>
      <b/>
      <i/>
      <sz val="12"/>
      <color rgb="FF005493"/>
      <name val="Calibri"/>
      <family val="2"/>
      <scheme val="minor"/>
    </font>
    <font>
      <b/>
      <i/>
      <sz val="11"/>
      <color theme="1"/>
      <name val="Arial"/>
      <family val="2"/>
    </font>
    <font>
      <sz val="12"/>
      <color rgb="FFC00000"/>
      <name val="Calibri"/>
      <family val="2"/>
      <scheme val="minor"/>
    </font>
    <font>
      <i/>
      <u val="single"/>
      <sz val="12"/>
      <color theme="1"/>
      <name val="Calibri"/>
      <family val="2"/>
      <scheme val="minor"/>
    </font>
    <font>
      <b/>
      <sz val="12"/>
      <color theme="1"/>
      <name val="Calibri"/>
      <family val="2"/>
    </font>
    <font>
      <u val="single"/>
      <sz val="12"/>
      <color rgb="FF1970C0"/>
      <name val="Calibri (Corpo)"/>
      <family val="2"/>
    </font>
    <font>
      <b/>
      <sz val="12"/>
      <color rgb="FF1970C0"/>
      <name val="Calibri (Corpo)"/>
      <family val="2"/>
    </font>
    <font>
      <b/>
      <sz val="16"/>
      <color rgb="FF005493"/>
      <name val="Calibri"/>
      <family val="2"/>
      <scheme val="minor"/>
    </font>
    <font>
      <sz val="11"/>
      <color rgb="FF000000"/>
      <name val="Calibri"/>
      <family val="2"/>
    </font>
    <font>
      <sz val="12"/>
      <color rgb="FF000000"/>
      <name val="Arial"/>
      <family val="2"/>
    </font>
    <font>
      <u val="single"/>
      <sz val="12"/>
      <color theme="10"/>
      <name val="Arial"/>
      <family val="2"/>
    </font>
    <font>
      <sz val="12"/>
      <color theme="1"/>
      <name val="Arial"/>
      <family val="2"/>
    </font>
    <font>
      <sz val="7"/>
      <name val="Calibri"/>
      <family val="2"/>
    </font>
    <font>
      <sz val="7"/>
      <name val="Arial"/>
      <family val="2"/>
    </font>
    <font>
      <sz val="7"/>
      <color theme="1"/>
      <name val="Arial"/>
      <family val="2"/>
    </font>
    <font>
      <b/>
      <sz val="7"/>
      <name val="Arial"/>
      <family val="2"/>
    </font>
    <font>
      <b/>
      <sz val="7"/>
      <color rgb="FF000000"/>
      <name val="Arial"/>
      <family val="2"/>
    </font>
    <font>
      <b/>
      <sz val="7"/>
      <color theme="1"/>
      <name val="Arial"/>
      <family val="2"/>
    </font>
    <font>
      <sz val="14"/>
      <color theme="1" tint="0.35"/>
      <name val="Calibri"/>
      <family val="2"/>
    </font>
    <font>
      <sz val="9"/>
      <color theme="1" tint="0.35"/>
      <name val="+mn-cs"/>
      <family val="2"/>
    </font>
    <font>
      <sz val="10"/>
      <color theme="1" tint="0.35"/>
      <name val="+mn-cs"/>
      <family val="2"/>
    </font>
    <font>
      <sz val="9"/>
      <color theme="1" tint="0.35"/>
      <name val="Calibri"/>
      <family val="2"/>
    </font>
    <font>
      <sz val="14"/>
      <name val="Calibri"/>
      <family val="2"/>
    </font>
    <font>
      <sz val="14"/>
      <color theme="1"/>
      <name val="Calibri"/>
      <family val="2"/>
    </font>
    <font>
      <sz val="14"/>
      <color theme="0"/>
      <name val="Calibri"/>
      <family val="2"/>
    </font>
    <font>
      <b/>
      <sz val="8"/>
      <name val="Calibri"/>
      <family val="2"/>
    </font>
  </fonts>
  <fills count="26">
    <fill>
      <patternFill/>
    </fill>
    <fill>
      <patternFill patternType="gray125"/>
    </fill>
    <fill>
      <patternFill patternType="solid">
        <fgColor theme="7" tint="0.7999799847602844"/>
        <bgColor indexed="64"/>
      </patternFill>
    </fill>
    <fill>
      <patternFill patternType="solid">
        <fgColor theme="0"/>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196FC2"/>
        <bgColor indexed="64"/>
      </patternFill>
    </fill>
    <fill>
      <patternFill patternType="solid">
        <fgColor theme="0"/>
        <bgColor indexed="64"/>
      </patternFill>
    </fill>
    <fill>
      <patternFill patternType="solid">
        <fgColor rgb="FF186FC0"/>
        <bgColor indexed="64"/>
      </patternFill>
    </fill>
    <fill>
      <patternFill patternType="solid">
        <fgColor rgb="FFF2F2F2"/>
        <bgColor indexed="64"/>
      </patternFill>
    </fill>
    <fill>
      <patternFill patternType="solid">
        <fgColor rgb="FFF9C032"/>
        <bgColor indexed="64"/>
      </patternFill>
    </fill>
    <fill>
      <patternFill patternType="solid">
        <fgColor theme="0" tint="-0.1499900072813034"/>
        <bgColor indexed="64"/>
      </patternFill>
    </fill>
    <fill>
      <patternFill patternType="solid">
        <fgColor rgb="FFFFFF00"/>
        <bgColor indexed="64"/>
      </patternFill>
    </fill>
    <fill>
      <patternFill patternType="solid">
        <fgColor rgb="FFF3F3F3"/>
        <bgColor indexed="64"/>
      </patternFill>
    </fill>
    <fill>
      <patternFill patternType="solid">
        <fgColor rgb="FF006AC6"/>
        <bgColor indexed="64"/>
      </patternFill>
    </fill>
    <fill>
      <patternFill patternType="solid">
        <fgColor rgb="FFF2F2F2"/>
        <bgColor indexed="64"/>
      </patternFill>
    </fill>
    <fill>
      <patternFill patternType="solid">
        <fgColor rgb="FFFFFFFF"/>
        <bgColor indexed="64"/>
      </patternFill>
    </fill>
    <fill>
      <patternFill patternType="solid">
        <fgColor rgb="FF006AC6"/>
        <bgColor indexed="64"/>
      </patternFill>
    </fill>
    <fill>
      <patternFill patternType="solid">
        <fgColor rgb="FF005493"/>
        <bgColor indexed="64"/>
      </patternFill>
    </fill>
    <fill>
      <patternFill patternType="solid">
        <fgColor rgb="FFDEDEDE"/>
        <bgColor indexed="64"/>
      </patternFill>
    </fill>
    <fill>
      <patternFill patternType="solid">
        <fgColor rgb="FF005493"/>
        <bgColor indexed="64"/>
      </patternFill>
    </fill>
    <fill>
      <patternFill patternType="solid">
        <fgColor theme="0"/>
        <bgColor indexed="64"/>
      </patternFill>
    </fill>
    <fill>
      <patternFill patternType="solid">
        <fgColor theme="0"/>
        <bgColor indexed="64"/>
      </patternFill>
    </fill>
    <fill>
      <patternFill patternType="solid">
        <fgColor rgb="FF2387EE"/>
        <bgColor indexed="64"/>
      </patternFill>
    </fill>
    <fill>
      <patternFill patternType="solid">
        <fgColor rgb="FF1970C0"/>
        <bgColor indexed="64"/>
      </patternFill>
    </fill>
  </fills>
  <borders count="168">
    <border>
      <left/>
      <right/>
      <top/>
      <bottom/>
      <diagonal/>
    </border>
    <border>
      <left/>
      <right style="medium"/>
      <top/>
      <bottom/>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style="thin"/>
      <top/>
      <bottom style="thin"/>
    </border>
    <border>
      <left style="thin"/>
      <right/>
      <top/>
      <bottom style="thin"/>
    </border>
    <border>
      <left/>
      <right/>
      <top/>
      <bottom style="thin"/>
    </border>
    <border>
      <left/>
      <right style="thin"/>
      <top/>
      <bottom style="thin"/>
    </border>
    <border>
      <left style="medium"/>
      <right/>
      <top/>
      <bottom/>
    </border>
    <border>
      <left style="thin"/>
      <right/>
      <top style="thin"/>
      <bottom style="thin"/>
    </border>
    <border>
      <left style="medium"/>
      <right/>
      <top style="medium"/>
      <bottom/>
    </border>
    <border>
      <left/>
      <right/>
      <top style="medium"/>
      <bottom/>
    </border>
    <border>
      <left/>
      <right style="medium"/>
      <top style="medium"/>
      <bottom/>
    </border>
    <border>
      <left style="medium"/>
      <right style="medium"/>
      <top/>
      <bottom style="mediu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right/>
      <top style="thin"/>
      <bottom style="thin"/>
    </border>
    <border>
      <left style="medium"/>
      <right style="medium"/>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right style="thin"/>
      <top style="medium"/>
      <bottom/>
    </border>
    <border>
      <left style="thin"/>
      <right style="thin"/>
      <top style="medium"/>
      <bottom/>
    </border>
    <border>
      <left style="thin"/>
      <right style="medium"/>
      <top style="medium"/>
      <bottom/>
    </border>
    <border>
      <left style="medium"/>
      <right style="thin"/>
      <top/>
      <bottom/>
    </border>
    <border>
      <left style="thin"/>
      <right style="medium"/>
      <top/>
      <bottom/>
    </border>
    <border>
      <left style="thin"/>
      <right style="thin"/>
      <top style="thin"/>
      <bottom style="thin"/>
    </border>
    <border>
      <left/>
      <right style="thin"/>
      <top style="thin"/>
      <bottom style="thin"/>
    </border>
    <border>
      <left style="thin"/>
      <right style="medium"/>
      <top style="thin"/>
      <bottom style="thin"/>
    </border>
    <border>
      <left style="medium"/>
      <right style="thin"/>
      <top style="thin"/>
      <bottom style="thin"/>
    </border>
    <border>
      <left/>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style="double"/>
      <right style="thin"/>
      <top style="medium"/>
      <bottom style="medium"/>
    </border>
    <border>
      <left style="thin"/>
      <right style="double"/>
      <top style="medium"/>
      <bottom style="medium"/>
    </border>
    <border>
      <left style="double"/>
      <right style="medium"/>
      <top style="medium"/>
      <bottom style="medium"/>
    </border>
    <border>
      <left style="medium"/>
      <right style="thin"/>
      <top style="medium"/>
      <bottom style="medium"/>
    </border>
    <border>
      <left style="medium"/>
      <right style="medium"/>
      <top style="medium"/>
      <bottom style="thin"/>
    </border>
    <border>
      <left/>
      <right/>
      <top style="medium"/>
      <bottom style="thin"/>
    </border>
    <border>
      <left/>
      <right style="medium"/>
      <top style="medium"/>
      <bottom style="thin"/>
    </border>
    <border>
      <left style="medium"/>
      <right style="thin"/>
      <top style="medium"/>
      <bottom style="thin"/>
    </border>
    <border>
      <left style="medium"/>
      <right style="thin"/>
      <top/>
      <bottom style="medium"/>
    </border>
    <border>
      <left style="thin"/>
      <right style="thin"/>
      <top style="medium"/>
      <bottom style="thin"/>
    </border>
    <border>
      <left style="thin"/>
      <right style="thin"/>
      <top/>
      <bottom style="medium"/>
    </border>
    <border>
      <left style="medium"/>
      <right/>
      <top style="medium"/>
      <bottom style="thin"/>
    </border>
    <border>
      <left/>
      <right/>
      <top/>
      <bottom style="slantDashDot">
        <color rgb="FFC00000"/>
      </bottom>
    </border>
    <border>
      <left style="medium"/>
      <right style="thin"/>
      <top/>
      <bottom style="thin"/>
    </border>
    <border>
      <left/>
      <right style="medium"/>
      <top/>
      <bottom style="thin"/>
    </border>
    <border>
      <left style="medium">
        <color theme="1"/>
      </left>
      <right/>
      <top style="medium">
        <color theme="1"/>
      </top>
      <bottom style="medium">
        <color theme="1"/>
      </bottom>
    </border>
    <border>
      <left/>
      <right/>
      <top/>
      <bottom style="double"/>
    </border>
    <border>
      <left style="thin"/>
      <right style="medium"/>
      <top style="thin"/>
      <bottom/>
    </border>
    <border>
      <left/>
      <right style="medium">
        <color theme="1"/>
      </right>
      <top/>
      <bottom/>
    </border>
    <border>
      <left/>
      <right style="medium">
        <color theme="1"/>
      </right>
      <top/>
      <bottom style="medium">
        <color theme="1"/>
      </bottom>
    </border>
    <border>
      <left style="medium"/>
      <right/>
      <top style="medium"/>
      <bottom style="medium">
        <color theme="1"/>
      </bottom>
    </border>
    <border>
      <left style="thin"/>
      <right/>
      <top style="medium"/>
      <bottom/>
    </border>
    <border>
      <left/>
      <right style="thin"/>
      <top style="medium"/>
      <bottom style="medium"/>
    </border>
    <border>
      <left style="thin"/>
      <right/>
      <top style="medium"/>
      <bottom style="medium"/>
    </border>
    <border>
      <left/>
      <right style="thin"/>
      <top/>
      <bottom style="medium"/>
    </border>
    <border>
      <left style="thin"/>
      <right/>
      <top/>
      <bottom style="medium"/>
    </border>
    <border>
      <left style="thin"/>
      <right style="medium"/>
      <top/>
      <bottom style="medium"/>
    </border>
    <border>
      <left style="medium"/>
      <right style="medium"/>
      <top style="thin">
        <color theme="0" tint="-0.4999699890613556"/>
      </top>
      <bottom style="thin">
        <color theme="0" tint="-0.4999699890613556"/>
      </bottom>
    </border>
    <border>
      <left/>
      <right style="medium"/>
      <top style="medium">
        <color theme="1"/>
      </top>
      <bottom style="medium"/>
    </border>
    <border>
      <left style="thin">
        <color rgb="FF002060"/>
      </left>
      <right/>
      <top/>
      <bottom style="thin">
        <color rgb="FF002060"/>
      </bottom>
    </border>
    <border>
      <left/>
      <right/>
      <top/>
      <bottom style="thin">
        <color rgb="FF002060"/>
      </bottom>
    </border>
    <border>
      <left/>
      <right style="thin">
        <color rgb="FF002060"/>
      </right>
      <top/>
      <bottom style="thin">
        <color rgb="FF002060"/>
      </bottom>
    </border>
    <border>
      <left style="thin">
        <color rgb="FF002060"/>
      </left>
      <right style="thin">
        <color rgb="FF002060"/>
      </right>
      <top/>
      <bottom/>
    </border>
    <border>
      <left style="thin">
        <color rgb="FF002060"/>
      </left>
      <right style="thin">
        <color rgb="FF002060"/>
      </right>
      <top style="thin"/>
      <bottom style="thin">
        <color rgb="FF002060"/>
      </bottom>
    </border>
    <border>
      <left style="thin">
        <color rgb="FF002060"/>
      </left>
      <right/>
      <top style="thin"/>
      <bottom style="thin">
        <color rgb="FF002060"/>
      </bottom>
    </border>
    <border>
      <left/>
      <right/>
      <top style="thin"/>
      <bottom style="thin">
        <color rgb="FF002060"/>
      </bottom>
    </border>
    <border>
      <left/>
      <right style="thin"/>
      <top style="thin"/>
      <bottom style="thin">
        <color rgb="FF002060"/>
      </bottom>
    </border>
    <border>
      <left style="thin">
        <color rgb="FF002060"/>
      </left>
      <right style="thin">
        <color rgb="FF002060"/>
      </right>
      <top style="thin">
        <color rgb="FF002060"/>
      </top>
      <bottom style="thin">
        <color rgb="FF002060"/>
      </bottom>
    </border>
    <border>
      <left style="thin">
        <color rgb="FF002060"/>
      </left>
      <right/>
      <top style="thin">
        <color rgb="FF002060"/>
      </top>
      <bottom style="thin">
        <color rgb="FF002060"/>
      </bottom>
    </border>
    <border>
      <left/>
      <right/>
      <top style="thin">
        <color rgb="FF002060"/>
      </top>
      <bottom style="thin">
        <color rgb="FF002060"/>
      </bottom>
    </border>
    <border>
      <left/>
      <right style="thin">
        <color rgb="FF000000"/>
      </right>
      <top style="thin">
        <color rgb="FF002060"/>
      </top>
      <bottom style="thin">
        <color rgb="FF002060"/>
      </bottom>
    </border>
    <border>
      <left/>
      <right style="thin">
        <color rgb="FF002060"/>
      </right>
      <top style="thin">
        <color rgb="FF002060"/>
      </top>
      <bottom style="thin">
        <color rgb="FF002060"/>
      </bottom>
    </border>
    <border>
      <left style="thin">
        <color rgb="FF002060"/>
      </left>
      <right/>
      <top/>
      <bottom/>
    </border>
    <border>
      <left/>
      <right style="thin">
        <color rgb="FF000000"/>
      </right>
      <top/>
      <bottom/>
    </border>
    <border>
      <left/>
      <right style="thin">
        <color rgb="FF002060"/>
      </right>
      <top/>
      <bottom/>
    </border>
    <border>
      <left style="medium"/>
      <right style="thin"/>
      <top style="thin"/>
      <bottom style="medium"/>
    </border>
    <border>
      <left/>
      <right/>
      <top style="medium"/>
      <bottom style="thin">
        <color theme="1"/>
      </bottom>
    </border>
    <border>
      <left/>
      <right style="thin"/>
      <top style="medium"/>
      <bottom style="thin">
        <color theme="1"/>
      </bottom>
    </border>
    <border>
      <left style="medium"/>
      <right style="medium"/>
      <top/>
      <bottom style="thin">
        <color theme="1"/>
      </bottom>
    </border>
    <border>
      <left/>
      <right/>
      <top/>
      <bottom style="thin">
        <color theme="1"/>
      </bottom>
    </border>
    <border>
      <left/>
      <right style="thin"/>
      <top/>
      <bottom style="thin">
        <color theme="1"/>
      </bottom>
    </border>
    <border>
      <left/>
      <right style="medium"/>
      <top/>
      <bottom style="thin">
        <color theme="1"/>
      </bottom>
    </border>
    <border>
      <left style="medium">
        <color theme="1"/>
      </left>
      <right style="medium">
        <color theme="1"/>
      </right>
      <top style="medium">
        <color theme="1"/>
      </top>
      <bottom style="thin">
        <color theme="1"/>
      </bottom>
    </border>
    <border>
      <left style="medium">
        <color theme="1"/>
      </left>
      <right style="medium">
        <color theme="1"/>
      </right>
      <top style="thin">
        <color theme="1"/>
      </top>
      <bottom style="thin">
        <color theme="1"/>
      </bottom>
    </border>
    <border>
      <left style="medium"/>
      <right style="medium"/>
      <top style="thin">
        <color theme="1"/>
      </top>
      <bottom style="thin">
        <color theme="1"/>
      </bottom>
    </border>
    <border>
      <left style="medium"/>
      <right/>
      <top style="thin">
        <color theme="1"/>
      </top>
      <bottom style="thin">
        <color theme="1"/>
      </bottom>
    </border>
    <border>
      <left/>
      <right/>
      <top style="thin">
        <color theme="1"/>
      </top>
      <bottom style="thin">
        <color theme="1"/>
      </bottom>
    </border>
    <border>
      <left/>
      <right style="thin"/>
      <top style="thin">
        <color theme="1"/>
      </top>
      <bottom style="thin">
        <color theme="1"/>
      </bottom>
    </border>
    <border>
      <left style="medium"/>
      <right/>
      <top style="medium"/>
      <bottom style="thin">
        <color theme="1"/>
      </bottom>
    </border>
    <border>
      <left/>
      <right style="medium"/>
      <top style="thin">
        <color theme="1"/>
      </top>
      <bottom style="thin">
        <color theme="1"/>
      </bottom>
    </border>
    <border>
      <left/>
      <right/>
      <top/>
      <bottom style="slantDashDot"/>
    </border>
    <border>
      <left style="medium">
        <color theme="1"/>
      </left>
      <right style="medium">
        <color theme="1"/>
      </right>
      <top style="medium"/>
      <bottom style="medium"/>
    </border>
    <border>
      <left style="medium">
        <color theme="1"/>
      </left>
      <right style="medium">
        <color theme="1"/>
      </right>
      <top/>
      <bottom/>
    </border>
    <border>
      <left style="medium">
        <color theme="1"/>
      </left>
      <right style="medium">
        <color theme="1"/>
      </right>
      <top/>
      <bottom style="medium"/>
    </border>
    <border>
      <left style="medium">
        <color theme="1"/>
      </left>
      <right style="medium">
        <color theme="1"/>
      </right>
      <top/>
      <bottom style="medium">
        <color theme="1"/>
      </bottom>
    </border>
    <border>
      <left style="medium">
        <color rgb="FF002060"/>
      </left>
      <right/>
      <top/>
      <bottom style="medium">
        <color rgb="FF002060"/>
      </bottom>
    </border>
    <border>
      <left style="thin">
        <color rgb="FF002060"/>
      </left>
      <right/>
      <top/>
      <bottom style="medium">
        <color rgb="FF002060"/>
      </bottom>
    </border>
    <border>
      <left style="thin">
        <color rgb="FF002060"/>
      </left>
      <right style="medium">
        <color rgb="FF002060"/>
      </right>
      <top/>
      <bottom style="medium">
        <color rgb="FF002060"/>
      </bottom>
    </border>
    <border>
      <left style="medium">
        <color rgb="FF002060"/>
      </left>
      <right/>
      <top/>
      <bottom/>
    </border>
    <border>
      <left style="thin">
        <color rgb="FF002060"/>
      </left>
      <right style="medium">
        <color rgb="FF002060"/>
      </right>
      <top style="medium">
        <color rgb="FF002060"/>
      </top>
      <bottom/>
    </border>
    <border>
      <left style="thin">
        <color rgb="FF002060"/>
      </left>
      <right style="medium">
        <color rgb="FF002060"/>
      </right>
      <top/>
      <bottom/>
    </border>
    <border>
      <left style="medium">
        <color rgb="FF002060"/>
      </left>
      <right/>
      <top style="thin">
        <color theme="1"/>
      </top>
      <bottom style="medium">
        <color rgb="FF002060"/>
      </bottom>
    </border>
    <border>
      <left style="thin">
        <color rgb="FF002060"/>
      </left>
      <right style="medium">
        <color rgb="FF002060"/>
      </right>
      <top style="thin">
        <color theme="1"/>
      </top>
      <bottom style="medium">
        <color rgb="FF002060"/>
      </bottom>
    </border>
    <border>
      <left style="thin">
        <color rgb="FF002060"/>
      </left>
      <right/>
      <top style="medium">
        <color rgb="FF002060"/>
      </top>
      <bottom/>
    </border>
    <border>
      <left style="thin">
        <color rgb="FF002060"/>
      </left>
      <right/>
      <top style="thin">
        <color theme="1"/>
      </top>
      <bottom style="medium">
        <color rgb="FF002060"/>
      </bottom>
    </border>
    <border>
      <left/>
      <right/>
      <top style="dotted">
        <color rgb="FFC00000"/>
      </top>
      <bottom/>
    </border>
    <border>
      <left/>
      <right style="dotted">
        <color rgb="FFC00000"/>
      </right>
      <top style="dotted">
        <color rgb="FFC00000"/>
      </top>
      <bottom/>
    </border>
    <border>
      <left/>
      <right/>
      <top/>
      <bottom style="dotted">
        <color rgb="FFC00000"/>
      </bottom>
    </border>
    <border>
      <left/>
      <right style="dotted">
        <color rgb="FFC00000"/>
      </right>
      <top/>
      <bottom style="dotted">
        <color rgb="FFC00000"/>
      </bottom>
    </border>
    <border>
      <left/>
      <right style="thin">
        <color rgb="FF002060"/>
      </right>
      <top style="thin"/>
      <bottom style="thin">
        <color rgb="FF002060"/>
      </bottom>
    </border>
    <border>
      <left/>
      <right style="thin">
        <color theme="1"/>
      </right>
      <top/>
      <bottom style="thin">
        <color rgb="FF002060"/>
      </bottom>
    </border>
    <border>
      <left/>
      <right style="thin">
        <color theme="1"/>
      </right>
      <top/>
      <bottom/>
    </border>
    <border>
      <left/>
      <right style="thin">
        <color theme="1"/>
      </right>
      <top/>
      <bottom style="thin"/>
    </border>
    <border>
      <left style="medium">
        <color theme="1"/>
      </left>
      <right/>
      <top/>
      <bottom/>
    </border>
    <border>
      <left style="medium">
        <color theme="1"/>
      </left>
      <right/>
      <top style="thin"/>
      <bottom style="thin"/>
    </border>
    <border>
      <left style="medium">
        <color theme="1"/>
      </left>
      <right/>
      <top/>
      <bottom style="medium">
        <color theme="1"/>
      </bottom>
    </border>
    <border>
      <left/>
      <right/>
      <top/>
      <bottom style="medium">
        <color theme="1"/>
      </bottom>
    </border>
    <border>
      <left/>
      <right style="medium"/>
      <top style="medium"/>
      <bottom style="thin">
        <color theme="1"/>
      </bottom>
    </border>
    <border>
      <left style="medium"/>
      <right/>
      <top/>
      <bottom style="thin">
        <color theme="1"/>
      </bottom>
    </border>
    <border>
      <left style="medium"/>
      <right style="medium"/>
      <top style="medium"/>
      <bottom style="thin">
        <color theme="1"/>
      </bottom>
    </border>
    <border>
      <left style="medium"/>
      <right/>
      <top style="thin">
        <color theme="1"/>
      </top>
      <bottom style="medium"/>
    </border>
    <border>
      <left/>
      <right/>
      <top style="thin">
        <color theme="1"/>
      </top>
      <bottom style="medium"/>
    </border>
    <border>
      <left/>
      <right style="thin"/>
      <top style="thin">
        <color theme="1"/>
      </top>
      <bottom style="medium"/>
    </border>
    <border>
      <left style="medium"/>
      <right style="medium">
        <color theme="1"/>
      </right>
      <top style="thin">
        <color theme="1"/>
      </top>
      <bottom style="medium"/>
    </border>
    <border>
      <left style="medium"/>
      <right style="medium">
        <color theme="1"/>
      </right>
      <top style="thin">
        <color theme="1"/>
      </top>
      <bottom style="thin">
        <color theme="1"/>
      </bottom>
    </border>
    <border>
      <left/>
      <right style="thin"/>
      <top style="medium"/>
      <bottom style="thin"/>
    </border>
    <border>
      <left style="medium"/>
      <right/>
      <top style="thin">
        <color theme="1"/>
      </top>
      <bottom style="thin"/>
    </border>
    <border>
      <left/>
      <right style="medium"/>
      <top style="thin">
        <color theme="1"/>
      </top>
      <bottom style="thin"/>
    </border>
    <border>
      <left/>
      <right style="thin"/>
      <top style="thin">
        <color theme="1"/>
      </top>
      <bottom style="thin"/>
    </border>
    <border>
      <left/>
      <right/>
      <top style="thin">
        <color theme="1"/>
      </top>
      <bottom style="thin"/>
    </border>
    <border>
      <left style="medium">
        <color theme="1"/>
      </left>
      <right/>
      <top style="thin">
        <color theme="1"/>
      </top>
      <bottom style="thin"/>
    </border>
    <border>
      <left style="medium"/>
      <right style="medium"/>
      <top/>
      <bottom style="thin"/>
    </border>
    <border>
      <left style="medium"/>
      <right/>
      <top/>
      <bottom style="thin"/>
    </border>
    <border>
      <left/>
      <right style="medium"/>
      <top style="thin">
        <color theme="1"/>
      </top>
      <bottom style="medium"/>
    </border>
    <border>
      <left style="medium"/>
      <right style="medium"/>
      <top style="thin">
        <color theme="1"/>
      </top>
      <bottom style="medium"/>
    </border>
    <border>
      <left style="medium">
        <color theme="1"/>
      </left>
      <right style="medium">
        <color theme="1"/>
      </right>
      <top/>
      <bottom style="thin">
        <color theme="1"/>
      </bottom>
    </border>
    <border>
      <left style="medium">
        <color theme="1"/>
      </left>
      <right style="medium">
        <color theme="1"/>
      </right>
      <top style="thin">
        <color theme="1"/>
      </top>
      <bottom style="thin"/>
    </border>
    <border>
      <left style="medium"/>
      <right/>
      <top style="dotted">
        <color rgb="FFC00000"/>
      </top>
      <bottom/>
    </border>
    <border>
      <left style="medium"/>
      <right/>
      <top/>
      <bottom style="dotted">
        <color rgb="FFC00000"/>
      </bottom>
    </border>
    <border>
      <left style="medium"/>
      <right/>
      <top style="thin"/>
      <bottom/>
    </border>
    <border>
      <left style="medium"/>
      <right/>
      <top style="thin"/>
      <bottom style="thin"/>
    </border>
    <border>
      <left style="thin">
        <color rgb="FF000000"/>
      </left>
      <right/>
      <top/>
      <bottom/>
    </border>
    <border>
      <left style="medium">
        <color theme="1"/>
      </left>
      <right style="medium">
        <color theme="1"/>
      </right>
      <top style="medium">
        <color theme="1"/>
      </top>
      <bottom/>
    </border>
    <border>
      <left/>
      <right/>
      <top style="medium">
        <color theme="1"/>
      </top>
      <bottom style="medium">
        <color theme="1"/>
      </bottom>
    </border>
    <border>
      <left/>
      <right style="medium">
        <color theme="1"/>
      </right>
      <top style="medium">
        <color theme="1"/>
      </top>
      <bottom style="medium">
        <color theme="1"/>
      </bottom>
    </border>
    <border>
      <left style="medium">
        <color theme="1"/>
      </left>
      <right/>
      <top style="thin"/>
      <bottom/>
    </border>
    <border>
      <left style="medium">
        <color theme="1"/>
      </left>
      <right/>
      <top/>
      <bottom style="thin"/>
    </border>
    <border>
      <left style="medium">
        <color theme="1"/>
      </left>
      <right/>
      <top style="medium">
        <color theme="1"/>
      </top>
      <bottom/>
    </border>
    <border>
      <left/>
      <right/>
      <top style="medium">
        <color theme="1"/>
      </top>
      <bottom/>
    </border>
    <border>
      <left/>
      <right style="medium">
        <color theme="1"/>
      </right>
      <top style="medium">
        <color theme="1"/>
      </top>
      <bottom/>
    </border>
    <border>
      <left style="thin">
        <color rgb="FF002060"/>
      </left>
      <right style="thin">
        <color rgb="FF002060"/>
      </right>
      <top style="thin">
        <color rgb="FF002060"/>
      </top>
      <bottom/>
    </border>
    <border>
      <left style="thin">
        <color rgb="FF002060"/>
      </left>
      <right style="thin">
        <color rgb="FF002060"/>
      </right>
      <top/>
      <bottom style="thin">
        <color rgb="FF002060"/>
      </bottom>
    </border>
    <border>
      <left/>
      <right style="thin">
        <color theme="1"/>
      </right>
      <top style="thin">
        <color rgb="FF002060"/>
      </top>
      <bottom style="thin">
        <color rgb="FF002060"/>
      </bottom>
    </border>
  </borders>
  <cellStyleXfs count="22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1" fillId="2" borderId="0">
      <alignment/>
      <protection/>
    </xf>
    <xf numFmtId="0" fontId="12" fillId="0" borderId="0" applyNumberFormat="0" applyFill="0" applyBorder="0" applyAlignment="0" applyProtection="0"/>
    <xf numFmtId="0" fontId="13" fillId="0" borderId="0" applyNumberFormat="0" applyFill="0" applyBorder="0" applyProtection="0">
      <alignment horizontal="left" indent="2"/>
    </xf>
    <xf numFmtId="0" fontId="14" fillId="0" borderId="0" applyNumberForma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07" fillId="0" borderId="0" applyNumberFormat="0" applyBorder="0" applyAlignment="0">
      <protection/>
    </xf>
  </cellStyleXfs>
  <cellXfs count="1705">
    <xf numFmtId="0" fontId="0" fillId="0" borderId="0" xfId="0"/>
    <xf numFmtId="164" fontId="0" fillId="3" borderId="0" xfId="18" applyFont="1" applyFill="1" applyAlignment="1">
      <alignment vertical="center"/>
    </xf>
    <xf numFmtId="0" fontId="0" fillId="3" borderId="0" xfId="0" applyFill="1"/>
    <xf numFmtId="0" fontId="6" fillId="3" borderId="0" xfId="0" applyFont="1" applyFill="1" applyAlignment="1">
      <alignment vertical="center"/>
    </xf>
    <xf numFmtId="0" fontId="6" fillId="3" borderId="0" xfId="0" applyFont="1" applyFill="1"/>
    <xf numFmtId="0" fontId="7" fillId="3" borderId="0" xfId="0" applyFont="1" applyFill="1"/>
    <xf numFmtId="164" fontId="0" fillId="3" borderId="0" xfId="18" applyFont="1" applyFill="1" applyBorder="1" applyAlignment="1">
      <alignment vertical="center"/>
    </xf>
    <xf numFmtId="164" fontId="0" fillId="3" borderId="1" xfId="18" applyFont="1" applyFill="1" applyBorder="1" applyAlignment="1">
      <alignment vertical="center"/>
    </xf>
    <xf numFmtId="0" fontId="0" fillId="3" borderId="0" xfId="0" applyFont="1" applyFill="1"/>
    <xf numFmtId="0" fontId="30" fillId="3" borderId="0" xfId="0" applyFont="1" applyFill="1" applyAlignment="1">
      <alignment horizontal="left"/>
    </xf>
    <xf numFmtId="0" fontId="0" fillId="3" borderId="0" xfId="0" applyFont="1" applyFill="1" applyAlignment="1">
      <alignment horizontal="left"/>
    </xf>
    <xf numFmtId="0" fontId="26" fillId="3" borderId="0" xfId="0" applyFont="1" applyFill="1"/>
    <xf numFmtId="0" fontId="31" fillId="3" borderId="0" xfId="0" applyFont="1" applyFill="1" applyAlignment="1">
      <alignment horizontal="left"/>
    </xf>
    <xf numFmtId="0" fontId="7" fillId="3" borderId="0" xfId="0" applyFont="1" applyFill="1" applyAlignment="1">
      <alignment horizontal="left"/>
    </xf>
    <xf numFmtId="9" fontId="26" fillId="3" borderId="0" xfId="0" applyNumberFormat="1" applyFont="1" applyFill="1" applyAlignment="1">
      <alignment horizontal="center"/>
    </xf>
    <xf numFmtId="164" fontId="0" fillId="3" borderId="0" xfId="0" applyNumberFormat="1" applyFont="1" applyFill="1"/>
    <xf numFmtId="0" fontId="0" fillId="3" borderId="2" xfId="0" applyFont="1" applyFill="1" applyBorder="1"/>
    <xf numFmtId="0" fontId="0" fillId="3" borderId="3" xfId="0" applyFont="1" applyFill="1" applyBorder="1" applyAlignment="1">
      <alignment horizontal="center"/>
    </xf>
    <xf numFmtId="0" fontId="0" fillId="3" borderId="0" xfId="0" applyFont="1" applyFill="1" applyAlignment="1">
      <alignment horizontal="center"/>
    </xf>
    <xf numFmtId="0" fontId="7" fillId="3" borderId="3" xfId="0" applyFont="1" applyFill="1" applyBorder="1"/>
    <xf numFmtId="3" fontId="0" fillId="3" borderId="4" xfId="18" applyNumberFormat="1" applyFont="1" applyFill="1" applyBorder="1" applyAlignment="1">
      <alignment horizontal="center"/>
    </xf>
    <xf numFmtId="3" fontId="0" fillId="3" borderId="5" xfId="18" applyNumberFormat="1" applyFont="1" applyFill="1" applyBorder="1" applyAlignment="1">
      <alignment horizontal="center"/>
    </xf>
    <xf numFmtId="3" fontId="0" fillId="3" borderId="6" xfId="18" applyNumberFormat="1" applyFont="1" applyFill="1" applyBorder="1" applyAlignment="1">
      <alignment horizontal="center"/>
    </xf>
    <xf numFmtId="3" fontId="0" fillId="3" borderId="0" xfId="18" applyNumberFormat="1" applyFont="1" applyFill="1" applyBorder="1" applyAlignment="1">
      <alignment horizontal="center"/>
    </xf>
    <xf numFmtId="3" fontId="0" fillId="3" borderId="7" xfId="18" applyNumberFormat="1" applyFont="1" applyFill="1" applyBorder="1" applyAlignment="1">
      <alignment horizontal="center"/>
    </xf>
    <xf numFmtId="3" fontId="0" fillId="3" borderId="8" xfId="18" applyNumberFormat="1" applyFont="1" applyFill="1" applyBorder="1" applyAlignment="1">
      <alignment horizontal="center"/>
    </xf>
    <xf numFmtId="3" fontId="7" fillId="3" borderId="3" xfId="18" applyNumberFormat="1" applyFont="1" applyFill="1" applyBorder="1" applyAlignment="1">
      <alignment horizontal="center"/>
    </xf>
    <xf numFmtId="3" fontId="9" fillId="3" borderId="7" xfId="18" applyNumberFormat="1" applyFont="1" applyFill="1" applyBorder="1" applyAlignment="1">
      <alignment horizontal="center"/>
    </xf>
    <xf numFmtId="3" fontId="9" fillId="3" borderId="0" xfId="18" applyNumberFormat="1" applyFont="1" applyFill="1" applyBorder="1" applyAlignment="1">
      <alignment horizontal="center"/>
    </xf>
    <xf numFmtId="3" fontId="9" fillId="3" borderId="8" xfId="18" applyNumberFormat="1" applyFont="1" applyFill="1" applyBorder="1" applyAlignment="1">
      <alignment horizontal="center"/>
    </xf>
    <xf numFmtId="3" fontId="25" fillId="3" borderId="3" xfId="18" applyNumberFormat="1" applyFont="1" applyFill="1" applyBorder="1" applyAlignment="1">
      <alignment horizontal="center"/>
    </xf>
    <xf numFmtId="0" fontId="9" fillId="3" borderId="0" xfId="0" applyFont="1" applyFill="1"/>
    <xf numFmtId="164" fontId="34" fillId="3" borderId="3" xfId="18" applyFont="1" applyFill="1" applyBorder="1" applyAlignment="1">
      <alignment horizontal="left"/>
    </xf>
    <xf numFmtId="170" fontId="0" fillId="3" borderId="7" xfId="0" applyNumberFormat="1" applyFont="1" applyFill="1" applyBorder="1" applyAlignment="1">
      <alignment horizontal="center"/>
    </xf>
    <xf numFmtId="170" fontId="0" fillId="3" borderId="0" xfId="0" applyNumberFormat="1" applyFont="1" applyFill="1" applyBorder="1" applyAlignment="1">
      <alignment horizontal="center"/>
    </xf>
    <xf numFmtId="170" fontId="0" fillId="3" borderId="8" xfId="0" applyNumberFormat="1" applyFont="1" applyFill="1" applyBorder="1" applyAlignment="1">
      <alignment horizontal="center"/>
    </xf>
    <xf numFmtId="164" fontId="35" fillId="3" borderId="0" xfId="18" applyFont="1" applyFill="1" applyAlignment="1">
      <alignment horizontal="center"/>
    </xf>
    <xf numFmtId="164" fontId="35" fillId="3" borderId="0" xfId="18" applyFont="1" applyFill="1" applyAlignment="1">
      <alignment horizontal="left"/>
    </xf>
    <xf numFmtId="164" fontId="34" fillId="3" borderId="3" xfId="18" applyFont="1" applyFill="1" applyBorder="1"/>
    <xf numFmtId="164" fontId="35" fillId="3" borderId="0" xfId="18" applyFont="1" applyFill="1"/>
    <xf numFmtId="164" fontId="34" fillId="3" borderId="9" xfId="18" applyFont="1" applyFill="1" applyBorder="1"/>
    <xf numFmtId="170" fontId="0" fillId="3" borderId="10" xfId="0" applyNumberFormat="1" applyFont="1" applyFill="1" applyBorder="1" applyAlignment="1">
      <alignment horizontal="center"/>
    </xf>
    <xf numFmtId="170" fontId="0" fillId="3" borderId="11" xfId="0" applyNumberFormat="1" applyFont="1" applyFill="1" applyBorder="1" applyAlignment="1">
      <alignment horizontal="center"/>
    </xf>
    <xf numFmtId="170" fontId="0" fillId="3" borderId="12" xfId="0" applyNumberFormat="1" applyFont="1" applyFill="1" applyBorder="1" applyAlignment="1">
      <alignment horizontal="center"/>
    </xf>
    <xf numFmtId="170" fontId="7" fillId="3" borderId="9" xfId="0" applyNumberFormat="1" applyFont="1" applyFill="1" applyBorder="1" applyAlignment="1">
      <alignment horizontal="center"/>
    </xf>
    <xf numFmtId="0" fontId="30" fillId="3" borderId="0" xfId="0" applyFont="1" applyFill="1"/>
    <xf numFmtId="3" fontId="7" fillId="3" borderId="8" xfId="18" applyNumberFormat="1" applyFont="1" applyFill="1" applyBorder="1" applyAlignment="1">
      <alignment horizontal="center"/>
    </xf>
    <xf numFmtId="0" fontId="0" fillId="3" borderId="3" xfId="0" applyFont="1" applyFill="1" applyBorder="1" applyAlignment="1" quotePrefix="1">
      <alignment horizontal="left"/>
    </xf>
    <xf numFmtId="0" fontId="27" fillId="3" borderId="3" xfId="0" applyFont="1" applyFill="1" applyBorder="1" applyAlignment="1" quotePrefix="1">
      <alignment horizontal="left"/>
    </xf>
    <xf numFmtId="0" fontId="7" fillId="3" borderId="9" xfId="0" applyFont="1" applyFill="1" applyBorder="1" applyAlignment="1" quotePrefix="1">
      <alignment horizontal="left"/>
    </xf>
    <xf numFmtId="9" fontId="0" fillId="3" borderId="0" xfId="0" applyNumberFormat="1" applyFont="1" applyFill="1"/>
    <xf numFmtId="0" fontId="32" fillId="3" borderId="0" xfId="0" applyFont="1" applyFill="1"/>
    <xf numFmtId="0" fontId="0" fillId="3" borderId="0" xfId="0" applyFont="1" applyFill="1" applyAlignment="1">
      <alignment horizontal="center" vertical="center"/>
    </xf>
    <xf numFmtId="0" fontId="32" fillId="3" borderId="0" xfId="0" applyFont="1" applyFill="1" applyAlignment="1">
      <alignment vertical="center" wrapText="1"/>
    </xf>
    <xf numFmtId="9" fontId="36" fillId="3" borderId="0" xfId="15" applyFont="1" applyFill="1" applyProtection="1">
      <protection/>
    </xf>
    <xf numFmtId="0" fontId="0" fillId="3" borderId="0" xfId="0" applyFont="1" applyFill="1" applyBorder="1"/>
    <xf numFmtId="0" fontId="26" fillId="3" borderId="0" xfId="0" applyFont="1" applyFill="1" applyAlignment="1">
      <alignment/>
    </xf>
    <xf numFmtId="0" fontId="7" fillId="0" borderId="0" xfId="0" applyFont="1"/>
    <xf numFmtId="0" fontId="0" fillId="0" borderId="0" xfId="0" applyFont="1"/>
    <xf numFmtId="164" fontId="0" fillId="3" borderId="0" xfId="18" applyFont="1" applyFill="1" applyAlignment="1">
      <alignment vertical="center" wrapText="1"/>
    </xf>
    <xf numFmtId="164" fontId="0" fillId="3" borderId="0" xfId="18" applyFont="1" applyFill="1" applyAlignment="1">
      <alignment horizontal="center" vertical="center" wrapText="1"/>
    </xf>
    <xf numFmtId="164" fontId="0" fillId="3" borderId="0" xfId="18" applyFont="1" applyFill="1" applyAlignment="1">
      <alignment vertical="center"/>
    </xf>
    <xf numFmtId="164" fontId="7" fillId="3" borderId="0" xfId="18" applyFont="1" applyFill="1" applyBorder="1" applyAlignment="1">
      <alignment vertical="center"/>
    </xf>
    <xf numFmtId="164" fontId="32" fillId="3" borderId="13" xfId="18" applyFont="1" applyFill="1" applyBorder="1" applyAlignment="1">
      <alignment vertical="center" wrapText="1"/>
    </xf>
    <xf numFmtId="164" fontId="7" fillId="3" borderId="1" xfId="18" applyFont="1" applyFill="1" applyBorder="1" applyAlignment="1">
      <alignment vertical="center"/>
    </xf>
    <xf numFmtId="0" fontId="16" fillId="3" borderId="0" xfId="0" applyFont="1" applyFill="1"/>
    <xf numFmtId="0" fontId="2" fillId="3" borderId="0" xfId="0" applyFont="1" applyFill="1"/>
    <xf numFmtId="0" fontId="16" fillId="3" borderId="0" xfId="0" applyFont="1" applyFill="1" applyBorder="1"/>
    <xf numFmtId="0" fontId="18" fillId="3" borderId="0" xfId="0" applyFont="1" applyFill="1" applyAlignment="1">
      <alignment vertical="center" textRotation="90"/>
    </xf>
    <xf numFmtId="0" fontId="2" fillId="3" borderId="0" xfId="0" applyFont="1" applyFill="1" applyBorder="1"/>
    <xf numFmtId="9" fontId="7" fillId="3" borderId="9" xfId="15" applyFont="1" applyFill="1" applyBorder="1" applyAlignment="1">
      <alignment horizontal="center"/>
    </xf>
    <xf numFmtId="164" fontId="0" fillId="3" borderId="13" xfId="18" applyFont="1" applyFill="1" applyBorder="1" applyAlignment="1">
      <alignment vertical="center"/>
    </xf>
    <xf numFmtId="164" fontId="7" fillId="3" borderId="13" xfId="18" applyFont="1" applyFill="1" applyBorder="1" applyAlignment="1">
      <alignment vertical="center"/>
    </xf>
    <xf numFmtId="3" fontId="7" fillId="3" borderId="0" xfId="18" applyNumberFormat="1" applyFont="1" applyFill="1" applyBorder="1" applyAlignment="1">
      <alignment horizontal="center"/>
    </xf>
    <xf numFmtId="0" fontId="0" fillId="3" borderId="3" xfId="0" applyFont="1" applyFill="1" applyBorder="1" applyAlignment="1" quotePrefix="1">
      <alignment horizontal="left" wrapText="1"/>
    </xf>
    <xf numFmtId="0" fontId="7" fillId="3" borderId="3" xfId="0" applyFont="1" applyFill="1" applyBorder="1" applyAlignment="1" quotePrefix="1">
      <alignment horizontal="left"/>
    </xf>
    <xf numFmtId="3" fontId="25" fillId="3" borderId="0" xfId="18" applyNumberFormat="1" applyFont="1" applyFill="1" applyBorder="1" applyAlignment="1">
      <alignment horizontal="center"/>
    </xf>
    <xf numFmtId="3" fontId="0" fillId="3" borderId="3" xfId="18" applyNumberFormat="1" applyFont="1" applyFill="1" applyBorder="1" applyAlignment="1">
      <alignment horizontal="center"/>
    </xf>
    <xf numFmtId="0" fontId="7" fillId="3" borderId="0" xfId="0" applyFont="1" applyFill="1" applyBorder="1" applyAlignment="1" quotePrefix="1">
      <alignment horizontal="left"/>
    </xf>
    <xf numFmtId="170" fontId="7" fillId="3" borderId="0" xfId="0" applyNumberFormat="1" applyFont="1" applyFill="1" applyBorder="1" applyAlignment="1">
      <alignment horizontal="center"/>
    </xf>
    <xf numFmtId="0" fontId="7" fillId="3" borderId="14" xfId="0" applyFont="1" applyFill="1" applyBorder="1"/>
    <xf numFmtId="0" fontId="0" fillId="3" borderId="0" xfId="0" applyFill="1" applyAlignment="1">
      <alignment horizontal="center"/>
    </xf>
    <xf numFmtId="0" fontId="8" fillId="4" borderId="0" xfId="0" applyFont="1" applyFill="1"/>
    <xf numFmtId="44" fontId="7" fillId="5" borderId="15" xfId="16" applyFont="1" applyFill="1" applyBorder="1"/>
    <xf numFmtId="44" fontId="7" fillId="5" borderId="16" xfId="16" applyFont="1" applyFill="1" applyBorder="1"/>
    <xf numFmtId="44" fontId="7" fillId="5" borderId="17" xfId="16" applyFont="1" applyFill="1" applyBorder="1"/>
    <xf numFmtId="0" fontId="8" fillId="4" borderId="13" xfId="0" applyFont="1" applyFill="1" applyBorder="1"/>
    <xf numFmtId="44" fontId="0" fillId="3" borderId="13" xfId="16" applyFont="1" applyFill="1" applyBorder="1"/>
    <xf numFmtId="44" fontId="0" fillId="3" borderId="0" xfId="16" applyFont="1" applyFill="1" applyBorder="1"/>
    <xf numFmtId="44" fontId="0" fillId="3" borderId="1" xfId="16" applyFont="1" applyFill="1" applyBorder="1"/>
    <xf numFmtId="0" fontId="0" fillId="3" borderId="13" xfId="0" applyFill="1" applyBorder="1"/>
    <xf numFmtId="0" fontId="0" fillId="3" borderId="0" xfId="0" applyFill="1" applyBorder="1"/>
    <xf numFmtId="0" fontId="0" fillId="3" borderId="1" xfId="0" applyFill="1" applyBorder="1"/>
    <xf numFmtId="0" fontId="26" fillId="4" borderId="0" xfId="0" applyFont="1" applyFill="1"/>
    <xf numFmtId="0" fontId="26" fillId="4" borderId="18" xfId="0" applyFont="1" applyFill="1" applyBorder="1"/>
    <xf numFmtId="44" fontId="7" fillId="3" borderId="19" xfId="0" applyNumberFormat="1" applyFont="1" applyFill="1" applyBorder="1"/>
    <xf numFmtId="44" fontId="7" fillId="3" borderId="20" xfId="0" applyNumberFormat="1" applyFont="1" applyFill="1" applyBorder="1"/>
    <xf numFmtId="44" fontId="7" fillId="3" borderId="21" xfId="0" applyNumberFormat="1" applyFont="1" applyFill="1" applyBorder="1"/>
    <xf numFmtId="0" fontId="8" fillId="4" borderId="0" xfId="0" applyFont="1" applyFill="1" applyAlignment="1">
      <alignment vertical="center"/>
    </xf>
    <xf numFmtId="44" fontId="0" fillId="3" borderId="0" xfId="16" applyFont="1" applyFill="1"/>
    <xf numFmtId="44" fontId="26" fillId="6" borderId="22" xfId="16" applyFont="1" applyFill="1" applyBorder="1"/>
    <xf numFmtId="0" fontId="0" fillId="3" borderId="0" xfId="0" applyFill="1" applyAlignment="1">
      <alignment vertical="center"/>
    </xf>
    <xf numFmtId="0" fontId="0" fillId="3" borderId="19" xfId="0" applyFill="1" applyBorder="1" applyAlignment="1">
      <alignment vertical="center"/>
    </xf>
    <xf numFmtId="0" fontId="0" fillId="3" borderId="22" xfId="0" applyFill="1" applyBorder="1" applyAlignment="1">
      <alignment vertical="center"/>
    </xf>
    <xf numFmtId="169" fontId="0" fillId="3" borderId="13" xfId="16" applyNumberFormat="1" applyFont="1" applyFill="1" applyBorder="1" applyAlignment="1">
      <alignment vertical="center"/>
    </xf>
    <xf numFmtId="169" fontId="0" fillId="3" borderId="0" xfId="16" applyNumberFormat="1" applyFont="1" applyFill="1" applyBorder="1" applyAlignment="1">
      <alignment vertical="center"/>
    </xf>
    <xf numFmtId="169" fontId="0" fillId="3" borderId="1" xfId="16" applyNumberFormat="1" applyFont="1" applyFill="1" applyBorder="1" applyAlignment="1">
      <alignment vertical="center"/>
    </xf>
    <xf numFmtId="0" fontId="0" fillId="3" borderId="23" xfId="0" applyFill="1" applyBorder="1" applyAlignment="1">
      <alignment vertical="center"/>
    </xf>
    <xf numFmtId="169" fontId="7" fillId="5" borderId="18" xfId="16" applyNumberFormat="1" applyFont="1" applyFill="1" applyBorder="1" applyAlignment="1">
      <alignment vertical="center"/>
    </xf>
    <xf numFmtId="169" fontId="7" fillId="5" borderId="19" xfId="16" applyNumberFormat="1" applyFont="1" applyFill="1" applyBorder="1" applyAlignment="1">
      <alignment vertical="center"/>
    </xf>
    <xf numFmtId="169" fontId="7" fillId="5" borderId="20" xfId="16" applyNumberFormat="1" applyFont="1" applyFill="1" applyBorder="1" applyAlignment="1">
      <alignment vertical="center"/>
    </xf>
    <xf numFmtId="169" fontId="7" fillId="5" borderId="21" xfId="16" applyNumberFormat="1" applyFont="1" applyFill="1" applyBorder="1" applyAlignment="1">
      <alignment vertical="center"/>
    </xf>
    <xf numFmtId="0" fontId="0" fillId="3" borderId="18" xfId="0" applyFill="1" applyBorder="1" applyAlignment="1">
      <alignment vertical="center"/>
    </xf>
    <xf numFmtId="0" fontId="7" fillId="3" borderId="0" xfId="0" applyFont="1" applyFill="1" applyAlignment="1">
      <alignment vertical="center"/>
    </xf>
    <xf numFmtId="168" fontId="0" fillId="3" borderId="13" xfId="18" applyNumberFormat="1" applyFont="1" applyFill="1" applyBorder="1" applyAlignment="1">
      <alignment horizontal="center"/>
    </xf>
    <xf numFmtId="168" fontId="0" fillId="3" borderId="0" xfId="18" applyNumberFormat="1" applyFont="1" applyFill="1" applyAlignment="1">
      <alignment horizontal="center"/>
    </xf>
    <xf numFmtId="168" fontId="0" fillId="3" borderId="23" xfId="18" applyNumberFormat="1" applyFont="1" applyFill="1" applyBorder="1" applyAlignment="1">
      <alignment horizontal="left" vertical="center"/>
    </xf>
    <xf numFmtId="168" fontId="0" fillId="3" borderId="18" xfId="18" applyNumberFormat="1" applyFont="1" applyFill="1" applyBorder="1"/>
    <xf numFmtId="168" fontId="0" fillId="3" borderId="19" xfId="18" applyNumberFormat="1" applyFont="1" applyFill="1" applyBorder="1" applyAlignment="1">
      <alignment horizontal="center"/>
    </xf>
    <xf numFmtId="168" fontId="0" fillId="3" borderId="20" xfId="18" applyNumberFormat="1" applyFont="1" applyFill="1" applyBorder="1" applyAlignment="1">
      <alignment horizontal="center"/>
    </xf>
    <xf numFmtId="168" fontId="0" fillId="3" borderId="0" xfId="18" applyNumberFormat="1" applyFont="1" applyFill="1"/>
    <xf numFmtId="168" fontId="0" fillId="3" borderId="13" xfId="18" applyNumberFormat="1" applyFont="1" applyFill="1" applyBorder="1" applyAlignment="1">
      <alignment vertical="center"/>
    </xf>
    <xf numFmtId="168" fontId="0" fillId="3" borderId="0" xfId="18" applyNumberFormat="1" applyFont="1" applyFill="1" applyBorder="1" applyAlignment="1">
      <alignment vertical="center"/>
    </xf>
    <xf numFmtId="168" fontId="0" fillId="3" borderId="1" xfId="18" applyNumberFormat="1" applyFont="1" applyFill="1" applyBorder="1" applyAlignment="1">
      <alignment vertical="center"/>
    </xf>
    <xf numFmtId="168" fontId="29" fillId="7" borderId="13" xfId="18" applyNumberFormat="1" applyFont="1" applyFill="1" applyBorder="1" applyAlignment="1">
      <alignment vertical="center"/>
    </xf>
    <xf numFmtId="168" fontId="29" fillId="7" borderId="0" xfId="18" applyNumberFormat="1" applyFont="1" applyFill="1" applyBorder="1" applyAlignment="1">
      <alignment vertical="center"/>
    </xf>
    <xf numFmtId="168" fontId="29" fillId="7" borderId="1" xfId="18" applyNumberFormat="1" applyFont="1" applyFill="1" applyBorder="1" applyAlignment="1">
      <alignment vertical="center"/>
    </xf>
    <xf numFmtId="37" fontId="32" fillId="8" borderId="0" xfId="0" applyNumberFormat="1" applyFont="1" applyFill="1" applyAlignment="1">
      <alignment horizontal="center"/>
    </xf>
    <xf numFmtId="169" fontId="0" fillId="3" borderId="0" xfId="16" applyNumberFormat="1" applyFont="1" applyFill="1" applyAlignment="1">
      <alignment horizontal="center"/>
    </xf>
    <xf numFmtId="164" fontId="0" fillId="3" borderId="0" xfId="18" applyFont="1" applyFill="1" applyAlignment="1">
      <alignment horizontal="center"/>
    </xf>
    <xf numFmtId="170" fontId="0" fillId="3" borderId="24" xfId="0" applyNumberFormat="1" applyFont="1" applyFill="1" applyBorder="1" applyAlignment="1">
      <alignment horizontal="center"/>
    </xf>
    <xf numFmtId="0" fontId="32" fillId="3" borderId="0" xfId="0" applyFont="1" applyFill="1" applyAlignment="1">
      <alignment horizontal="center" vertical="center" wrapText="1"/>
    </xf>
    <xf numFmtId="0" fontId="0" fillId="3" borderId="0" xfId="0" applyFont="1" applyFill="1" applyBorder="1" applyAlignment="1">
      <alignment horizontal="center"/>
    </xf>
    <xf numFmtId="3" fontId="20" fillId="3" borderId="0" xfId="18" applyNumberFormat="1" applyFont="1" applyFill="1" applyBorder="1" applyAlignment="1">
      <alignment horizontal="center"/>
    </xf>
    <xf numFmtId="0" fontId="0" fillId="0" borderId="0" xfId="0" applyFont="1" applyAlignment="1">
      <alignment vertical="center" wrapText="1"/>
    </xf>
    <xf numFmtId="0" fontId="0" fillId="3" borderId="0" xfId="2189" applyFont="1" applyFill="1"/>
    <xf numFmtId="171" fontId="7" fillId="3" borderId="5" xfId="16" applyNumberFormat="1" applyFont="1" applyFill="1" applyBorder="1" applyAlignment="1">
      <alignment vertical="center"/>
    </xf>
    <xf numFmtId="0" fontId="40" fillId="3" borderId="25" xfId="0" applyFont="1" applyFill="1" applyBorder="1"/>
    <xf numFmtId="0" fontId="7" fillId="3" borderId="23" xfId="0" applyFont="1" applyFill="1" applyBorder="1"/>
    <xf numFmtId="0" fontId="40" fillId="3" borderId="22" xfId="0" applyFont="1" applyFill="1" applyBorder="1"/>
    <xf numFmtId="0" fontId="40" fillId="3" borderId="23" xfId="0" applyFont="1" applyFill="1" applyBorder="1"/>
    <xf numFmtId="169" fontId="0" fillId="3" borderId="26" xfId="16" applyNumberFormat="1" applyFont="1" applyFill="1" applyBorder="1" applyAlignment="1">
      <alignment horizontal="center"/>
    </xf>
    <xf numFmtId="169" fontId="0" fillId="3" borderId="27" xfId="16" applyNumberFormat="1" applyFont="1" applyFill="1" applyBorder="1" applyAlignment="1">
      <alignment horizontal="center"/>
    </xf>
    <xf numFmtId="44" fontId="0" fillId="3" borderId="27" xfId="16" applyFont="1" applyFill="1" applyBorder="1" applyAlignment="1">
      <alignment horizontal="center"/>
    </xf>
    <xf numFmtId="0" fontId="40" fillId="3" borderId="18" xfId="0" applyFont="1" applyFill="1" applyBorder="1"/>
    <xf numFmtId="44" fontId="41" fillId="3" borderId="0" xfId="16" applyFont="1" applyFill="1" applyAlignment="1">
      <alignment vertical="center"/>
    </xf>
    <xf numFmtId="44" fontId="0" fillId="3" borderId="15" xfId="16" applyFont="1" applyFill="1" applyBorder="1"/>
    <xf numFmtId="44" fontId="43" fillId="3" borderId="19" xfId="16" applyFont="1" applyFill="1" applyBorder="1"/>
    <xf numFmtId="1" fontId="44" fillId="3" borderId="25" xfId="16" applyNumberFormat="1" applyFont="1" applyFill="1" applyBorder="1" applyAlignment="1">
      <alignment/>
    </xf>
    <xf numFmtId="1" fontId="46" fillId="9" borderId="28" xfId="16" applyNumberFormat="1" applyFont="1" applyFill="1" applyBorder="1" applyAlignment="1">
      <alignment horizontal="center"/>
    </xf>
    <xf numFmtId="1" fontId="46" fillId="9" borderId="29" xfId="16" applyNumberFormat="1" applyFont="1" applyFill="1" applyBorder="1" applyAlignment="1">
      <alignment horizontal="center"/>
    </xf>
    <xf numFmtId="1" fontId="0" fillId="3" borderId="0" xfId="16" applyNumberFormat="1" applyFont="1" applyFill="1"/>
    <xf numFmtId="44" fontId="43" fillId="3" borderId="23" xfId="16" applyFont="1" applyFill="1" applyBorder="1"/>
    <xf numFmtId="44" fontId="43" fillId="3" borderId="30" xfId="16" applyFont="1" applyFill="1" applyBorder="1"/>
    <xf numFmtId="44" fontId="43" fillId="3" borderId="31" xfId="16" applyFont="1" applyFill="1" applyBorder="1"/>
    <xf numFmtId="44" fontId="43" fillId="3" borderId="32" xfId="16" applyFont="1" applyFill="1" applyBorder="1"/>
    <xf numFmtId="44" fontId="43" fillId="3" borderId="33" xfId="16" applyFont="1" applyFill="1" applyBorder="1"/>
    <xf numFmtId="44" fontId="47" fillId="3" borderId="23" xfId="16" applyFont="1" applyFill="1" applyBorder="1"/>
    <xf numFmtId="44" fontId="47" fillId="3" borderId="34" xfId="16" applyFont="1" applyFill="1" applyBorder="1"/>
    <xf numFmtId="44" fontId="43" fillId="3" borderId="8" xfId="16" applyFont="1" applyFill="1" applyBorder="1"/>
    <xf numFmtId="44" fontId="43" fillId="3" borderId="3" xfId="16" applyFont="1" applyFill="1" applyBorder="1"/>
    <xf numFmtId="44" fontId="43" fillId="3" borderId="35" xfId="16" applyFont="1" applyFill="1" applyBorder="1"/>
    <xf numFmtId="44" fontId="43" fillId="3" borderId="34" xfId="16" applyFont="1" applyFill="1" applyBorder="1" applyAlignment="1">
      <alignment horizontal="right"/>
    </xf>
    <xf numFmtId="44" fontId="43" fillId="3" borderId="34" xfId="16" applyFont="1" applyFill="1" applyBorder="1"/>
    <xf numFmtId="44" fontId="43" fillId="3" borderId="8" xfId="16" applyFont="1" applyFill="1" applyBorder="1" applyAlignment="1">
      <alignment horizontal="right"/>
    </xf>
    <xf numFmtId="44" fontId="43" fillId="3" borderId="3" xfId="16" applyFont="1" applyFill="1" applyBorder="1" applyAlignment="1">
      <alignment horizontal="right"/>
    </xf>
    <xf numFmtId="44" fontId="43" fillId="3" borderId="35" xfId="16" applyFont="1" applyFill="1" applyBorder="1" applyAlignment="1">
      <alignment horizontal="right"/>
    </xf>
    <xf numFmtId="44" fontId="48" fillId="3" borderId="36" xfId="16" applyFont="1" applyFill="1" applyBorder="1" applyAlignment="1">
      <alignment horizontal="right"/>
    </xf>
    <xf numFmtId="44" fontId="49" fillId="3" borderId="34" xfId="16" applyFont="1" applyFill="1" applyBorder="1"/>
    <xf numFmtId="44" fontId="50" fillId="3" borderId="8" xfId="16" applyFont="1" applyFill="1" applyBorder="1" applyAlignment="1">
      <alignment horizontal="right"/>
    </xf>
    <xf numFmtId="44" fontId="50" fillId="3" borderId="3" xfId="16" applyFont="1" applyFill="1" applyBorder="1" applyAlignment="1">
      <alignment horizontal="right"/>
    </xf>
    <xf numFmtId="44" fontId="50" fillId="3" borderId="35" xfId="16" applyFont="1" applyFill="1" applyBorder="1" applyAlignment="1">
      <alignment horizontal="right"/>
    </xf>
    <xf numFmtId="44" fontId="50" fillId="3" borderId="34" xfId="16" applyFont="1" applyFill="1" applyBorder="1"/>
    <xf numFmtId="44" fontId="50" fillId="3" borderId="37" xfId="16" applyFont="1" applyFill="1" applyBorder="1" applyAlignment="1">
      <alignment horizontal="right"/>
    </xf>
    <xf numFmtId="44" fontId="50" fillId="3" borderId="36" xfId="16" applyFont="1" applyFill="1" applyBorder="1" applyAlignment="1">
      <alignment horizontal="right"/>
    </xf>
    <xf numFmtId="44" fontId="50" fillId="3" borderId="38" xfId="16" applyFont="1" applyFill="1" applyBorder="1" applyAlignment="1">
      <alignment horizontal="right"/>
    </xf>
    <xf numFmtId="44" fontId="43" fillId="3" borderId="39" xfId="16" applyFont="1" applyFill="1" applyBorder="1"/>
    <xf numFmtId="44" fontId="49" fillId="3" borderId="8" xfId="16" applyFont="1" applyFill="1" applyBorder="1" applyAlignment="1">
      <alignment horizontal="right"/>
    </xf>
    <xf numFmtId="44" fontId="49" fillId="3" borderId="1" xfId="16" applyFont="1" applyFill="1" applyBorder="1" applyAlignment="1">
      <alignment horizontal="right"/>
    </xf>
    <xf numFmtId="44" fontId="50" fillId="4" borderId="37" xfId="16" applyFont="1" applyFill="1" applyBorder="1" applyAlignment="1">
      <alignment horizontal="right"/>
    </xf>
    <xf numFmtId="44" fontId="50" fillId="4" borderId="40" xfId="16" applyFont="1" applyFill="1" applyBorder="1" applyAlignment="1">
      <alignment horizontal="right"/>
    </xf>
    <xf numFmtId="44" fontId="50" fillId="3" borderId="40" xfId="16" applyFont="1" applyFill="1" applyBorder="1" applyAlignment="1">
      <alignment horizontal="right"/>
    </xf>
    <xf numFmtId="44" fontId="43" fillId="3" borderId="41" xfId="16" applyFont="1" applyFill="1" applyBorder="1" applyAlignment="1">
      <alignment horizontal="right"/>
    </xf>
    <xf numFmtId="44" fontId="43" fillId="3" borderId="42" xfId="16" applyFont="1" applyFill="1" applyBorder="1" applyAlignment="1">
      <alignment horizontal="right"/>
    </xf>
    <xf numFmtId="44" fontId="43" fillId="3" borderId="43" xfId="16" applyFont="1" applyFill="1" applyBorder="1" applyAlignment="1">
      <alignment horizontal="right"/>
    </xf>
    <xf numFmtId="44" fontId="43" fillId="3" borderId="13" xfId="16" applyFont="1" applyFill="1" applyBorder="1"/>
    <xf numFmtId="44" fontId="49" fillId="3" borderId="37" xfId="16" applyFont="1" applyFill="1" applyBorder="1" applyAlignment="1">
      <alignment horizontal="right"/>
    </xf>
    <xf numFmtId="44" fontId="49" fillId="3" borderId="36" xfId="16" applyFont="1" applyFill="1" applyBorder="1" applyAlignment="1">
      <alignment horizontal="right"/>
    </xf>
    <xf numFmtId="44" fontId="49" fillId="3" borderId="38" xfId="16" applyFont="1" applyFill="1" applyBorder="1" applyAlignment="1">
      <alignment horizontal="right"/>
    </xf>
    <xf numFmtId="44" fontId="50" fillId="3" borderId="1" xfId="16" applyFont="1" applyFill="1" applyBorder="1" applyAlignment="1">
      <alignment horizontal="right"/>
    </xf>
    <xf numFmtId="44" fontId="43" fillId="3" borderId="36" xfId="16" applyFont="1" applyFill="1" applyBorder="1" applyAlignment="1">
      <alignment horizontal="right"/>
    </xf>
    <xf numFmtId="44" fontId="43" fillId="3" borderId="38" xfId="16" applyFont="1" applyFill="1" applyBorder="1" applyAlignment="1">
      <alignment horizontal="right"/>
    </xf>
    <xf numFmtId="44" fontId="51" fillId="3" borderId="23" xfId="16" applyFont="1" applyFill="1" applyBorder="1"/>
    <xf numFmtId="44" fontId="43" fillId="3" borderId="25" xfId="16" applyFont="1" applyFill="1" applyBorder="1"/>
    <xf numFmtId="44" fontId="44" fillId="3" borderId="44" xfId="16" applyFont="1" applyFill="1" applyBorder="1"/>
    <xf numFmtId="44" fontId="43" fillId="3" borderId="45" xfId="16" applyFont="1" applyFill="1" applyBorder="1" applyAlignment="1">
      <alignment horizontal="right"/>
    </xf>
    <xf numFmtId="44" fontId="43" fillId="3" borderId="46" xfId="16" applyFont="1" applyFill="1" applyBorder="1" applyAlignment="1">
      <alignment horizontal="right"/>
    </xf>
    <xf numFmtId="44" fontId="43" fillId="3" borderId="29" xfId="16" applyFont="1" applyFill="1" applyBorder="1" applyAlignment="1">
      <alignment horizontal="right"/>
    </xf>
    <xf numFmtId="44" fontId="51" fillId="3" borderId="25" xfId="16" applyFont="1" applyFill="1" applyBorder="1"/>
    <xf numFmtId="44" fontId="43" fillId="3" borderId="47" xfId="16" applyFont="1" applyFill="1" applyBorder="1" applyAlignment="1">
      <alignment horizontal="right"/>
    </xf>
    <xf numFmtId="44" fontId="23" fillId="3" borderId="0" xfId="16" applyFont="1" applyFill="1"/>
    <xf numFmtId="44" fontId="43" fillId="3" borderId="0" xfId="16" applyFont="1" applyFill="1" applyBorder="1"/>
    <xf numFmtId="44" fontId="52" fillId="3" borderId="0" xfId="16" applyFont="1" applyFill="1" applyBorder="1" applyAlignment="1">
      <alignment horizontal="center" vertical="center"/>
    </xf>
    <xf numFmtId="3" fontId="25" fillId="3" borderId="8" xfId="18" applyNumberFormat="1" applyFont="1" applyFill="1" applyBorder="1" applyAlignment="1">
      <alignment horizontal="center"/>
    </xf>
    <xf numFmtId="170" fontId="7" fillId="3" borderId="12" xfId="0" applyNumberFormat="1" applyFont="1" applyFill="1" applyBorder="1" applyAlignment="1">
      <alignment horizontal="center"/>
    </xf>
    <xf numFmtId="3" fontId="0" fillId="3" borderId="0" xfId="18" applyNumberFormat="1" applyFont="1" applyFill="1" applyBorder="1" applyAlignment="1">
      <alignment horizontal="center"/>
    </xf>
    <xf numFmtId="0" fontId="0" fillId="3" borderId="18" xfId="0" applyFont="1" applyFill="1" applyBorder="1" applyAlignment="1">
      <alignment horizontal="left" vertical="top"/>
    </xf>
    <xf numFmtId="44" fontId="20" fillId="3" borderId="0" xfId="16" applyFont="1" applyFill="1" applyBorder="1"/>
    <xf numFmtId="44" fontId="20" fillId="3" borderId="1" xfId="16" applyFont="1" applyFill="1" applyBorder="1"/>
    <xf numFmtId="44" fontId="20" fillId="3" borderId="13" xfId="16" applyFont="1" applyFill="1" applyBorder="1"/>
    <xf numFmtId="44" fontId="50" fillId="3" borderId="2" xfId="16" applyFont="1" applyFill="1" applyBorder="1" applyAlignment="1">
      <alignment horizontal="right"/>
    </xf>
    <xf numFmtId="44" fontId="0" fillId="3" borderId="3" xfId="16" applyFont="1" applyFill="1" applyBorder="1"/>
    <xf numFmtId="44" fontId="50" fillId="3" borderId="9" xfId="16" applyFont="1" applyFill="1" applyBorder="1" applyAlignment="1">
      <alignment horizontal="right"/>
    </xf>
    <xf numFmtId="1" fontId="45" fillId="9" borderId="48" xfId="16" applyNumberFormat="1" applyFont="1" applyFill="1" applyBorder="1" applyAlignment="1">
      <alignment horizontal="center"/>
    </xf>
    <xf numFmtId="0" fontId="0" fillId="3" borderId="0" xfId="0" applyFill="1" applyBorder="1" applyAlignment="1">
      <alignment vertical="center"/>
    </xf>
    <xf numFmtId="164" fontId="0" fillId="3" borderId="23" xfId="18" applyFont="1" applyFill="1" applyBorder="1" applyAlignment="1">
      <alignment horizontal="left" vertical="center" wrapText="1"/>
    </xf>
    <xf numFmtId="10" fontId="0" fillId="3" borderId="0" xfId="0" applyNumberFormat="1" applyFill="1"/>
    <xf numFmtId="167" fontId="0" fillId="3" borderId="0" xfId="0" applyNumberFormat="1" applyFill="1"/>
    <xf numFmtId="167" fontId="0" fillId="3" borderId="0" xfId="15" applyNumberFormat="1" applyFont="1" applyFill="1"/>
    <xf numFmtId="9" fontId="38" fillId="3" borderId="0" xfId="0" applyNumberFormat="1" applyFont="1" applyFill="1" applyBorder="1" applyAlignment="1">
      <alignment horizontal="center" vertical="center"/>
    </xf>
    <xf numFmtId="164" fontId="0" fillId="3" borderId="0" xfId="18" applyFont="1" applyFill="1" applyBorder="1" applyAlignment="1">
      <alignment horizontal="center"/>
    </xf>
    <xf numFmtId="0" fontId="30" fillId="3" borderId="0" xfId="0" applyFont="1" applyFill="1" applyBorder="1"/>
    <xf numFmtId="0" fontId="7" fillId="3" borderId="0" xfId="0" applyFont="1" applyFill="1" applyBorder="1"/>
    <xf numFmtId="0" fontId="0" fillId="3" borderId="0" xfId="0" applyFont="1" applyFill="1" applyBorder="1" applyAlignment="1" quotePrefix="1">
      <alignment horizontal="left"/>
    </xf>
    <xf numFmtId="0" fontId="0" fillId="3" borderId="0" xfId="0" applyFont="1" applyFill="1" applyBorder="1" applyAlignment="1" quotePrefix="1">
      <alignment horizontal="left" wrapText="1"/>
    </xf>
    <xf numFmtId="0" fontId="27" fillId="3" borderId="0" xfId="0" applyFont="1" applyFill="1" applyBorder="1" applyAlignment="1" quotePrefix="1">
      <alignment horizontal="left"/>
    </xf>
    <xf numFmtId="0" fontId="9" fillId="3" borderId="0" xfId="0" applyFont="1" applyFill="1" applyBorder="1" applyAlignment="1">
      <alignment horizontal="center"/>
    </xf>
    <xf numFmtId="168" fontId="0" fillId="3" borderId="0" xfId="18" applyNumberFormat="1" applyFont="1" applyFill="1" applyBorder="1" applyAlignment="1">
      <alignment vertical="center" wrapText="1"/>
    </xf>
    <xf numFmtId="168" fontId="0" fillId="3" borderId="1" xfId="18" applyNumberFormat="1" applyFont="1" applyFill="1" applyBorder="1" applyAlignment="1">
      <alignment vertical="center" wrapText="1"/>
    </xf>
    <xf numFmtId="168" fontId="0" fillId="3" borderId="20" xfId="18" applyNumberFormat="1" applyFont="1" applyFill="1" applyBorder="1" applyAlignment="1">
      <alignment vertical="center" wrapText="1"/>
    </xf>
    <xf numFmtId="168" fontId="0" fillId="3" borderId="21" xfId="18" applyNumberFormat="1" applyFont="1" applyFill="1" applyBorder="1" applyAlignment="1">
      <alignment vertical="center" wrapText="1"/>
    </xf>
    <xf numFmtId="168" fontId="0" fillId="3" borderId="0" xfId="18" applyNumberFormat="1" applyFont="1" applyFill="1" applyBorder="1" applyAlignment="1">
      <alignment horizontal="left" vertical="center" wrapText="1"/>
    </xf>
    <xf numFmtId="169" fontId="0" fillId="3" borderId="0" xfId="0" applyNumberFormat="1" applyFont="1" applyFill="1" applyBorder="1" applyAlignment="1">
      <alignment horizontal="center" vertical="center"/>
    </xf>
    <xf numFmtId="164" fontId="8" fillId="8" borderId="0" xfId="0" applyNumberFormat="1" applyFont="1" applyFill="1" applyBorder="1" applyAlignment="1">
      <alignment horizontal="left" vertical="center" wrapText="1"/>
    </xf>
    <xf numFmtId="0" fontId="0" fillId="3" borderId="18" xfId="0" applyFill="1" applyBorder="1"/>
    <xf numFmtId="164" fontId="8" fillId="3" borderId="23" xfId="0" applyNumberFormat="1" applyFont="1" applyFill="1" applyBorder="1" applyAlignment="1">
      <alignment horizontal="left" vertical="center" wrapText="1"/>
    </xf>
    <xf numFmtId="0" fontId="7" fillId="3" borderId="49" xfId="0" applyFont="1" applyFill="1" applyBorder="1" applyAlignment="1">
      <alignment horizontal="left"/>
    </xf>
    <xf numFmtId="164" fontId="0" fillId="3" borderId="0" xfId="18" applyFont="1" applyFill="1" applyBorder="1" applyAlignment="1">
      <alignment horizontal="left" vertical="center" wrapText="1"/>
    </xf>
    <xf numFmtId="0" fontId="7" fillId="3" borderId="49" xfId="0" applyFont="1" applyFill="1" applyBorder="1" applyAlignment="1">
      <alignment horizontal="center" vertical="center" wrapText="1"/>
    </xf>
    <xf numFmtId="168" fontId="7" fillId="3" borderId="50" xfId="0" applyNumberFormat="1" applyFont="1" applyFill="1" applyBorder="1" applyAlignment="1">
      <alignment vertical="center"/>
    </xf>
    <xf numFmtId="168" fontId="7" fillId="3" borderId="51" xfId="0" applyNumberFormat="1" applyFont="1" applyFill="1" applyBorder="1" applyAlignment="1">
      <alignment vertical="center"/>
    </xf>
    <xf numFmtId="164" fontId="8" fillId="3" borderId="18" xfId="0" applyNumberFormat="1" applyFont="1" applyFill="1" applyBorder="1" applyAlignment="1">
      <alignment horizontal="left" vertical="center" wrapText="1"/>
    </xf>
    <xf numFmtId="9" fontId="0" fillId="3" borderId="0" xfId="15" applyFont="1" applyFill="1" applyBorder="1"/>
    <xf numFmtId="0" fontId="6" fillId="3" borderId="0" xfId="0" applyFont="1" applyFill="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7"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21" xfId="0" applyFont="1" applyFill="1" applyBorder="1" applyAlignment="1">
      <alignment horizontal="center" vertical="center"/>
    </xf>
    <xf numFmtId="169" fontId="21" fillId="3" borderId="13" xfId="16" applyNumberFormat="1" applyFont="1" applyFill="1" applyBorder="1" applyAlignment="1">
      <alignment horizontal="center" vertical="center"/>
    </xf>
    <xf numFmtId="169" fontId="21" fillId="3" borderId="19" xfId="16" applyNumberFormat="1" applyFont="1" applyFill="1" applyBorder="1" applyAlignment="1">
      <alignment horizontal="center" vertical="center"/>
    </xf>
    <xf numFmtId="168" fontId="0" fillId="3" borderId="0" xfId="0" applyNumberFormat="1" applyFill="1"/>
    <xf numFmtId="173" fontId="0" fillId="3" borderId="0" xfId="0" applyNumberFormat="1" applyFill="1"/>
    <xf numFmtId="174" fontId="0" fillId="3" borderId="0" xfId="0" applyNumberFormat="1" applyFill="1"/>
    <xf numFmtId="168" fontId="0" fillId="0" borderId="0" xfId="18" applyNumberFormat="1" applyFont="1"/>
    <xf numFmtId="168" fontId="7" fillId="3" borderId="51" xfId="18" applyNumberFormat="1" applyFont="1" applyFill="1" applyBorder="1" applyAlignment="1">
      <alignment horizontal="center"/>
    </xf>
    <xf numFmtId="168" fontId="0" fillId="3" borderId="1" xfId="18" applyNumberFormat="1" applyFont="1" applyFill="1" applyBorder="1" applyAlignment="1">
      <alignment horizontal="center"/>
    </xf>
    <xf numFmtId="168" fontId="0" fillId="3" borderId="21" xfId="18" applyNumberFormat="1" applyFont="1" applyFill="1" applyBorder="1" applyAlignment="1">
      <alignment horizontal="center"/>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55" fillId="3" borderId="0" xfId="0" applyFont="1" applyFill="1" applyAlignment="1">
      <alignment horizontal="center" vertical="center"/>
    </xf>
    <xf numFmtId="0" fontId="56" fillId="3" borderId="0" xfId="0" applyFont="1" applyFill="1"/>
    <xf numFmtId="175" fontId="21" fillId="3" borderId="1" xfId="0" applyNumberFormat="1" applyFont="1" applyFill="1" applyBorder="1" applyAlignment="1">
      <alignment horizontal="center" vertical="center" wrapText="1"/>
    </xf>
    <xf numFmtId="175" fontId="21" fillId="3" borderId="1" xfId="15" applyNumberFormat="1" applyFont="1" applyFill="1" applyBorder="1" applyAlignment="1">
      <alignment horizontal="center" vertical="center" wrapText="1"/>
    </xf>
    <xf numFmtId="0" fontId="39" fillId="3" borderId="25" xfId="0" applyFont="1" applyFill="1" applyBorder="1"/>
    <xf numFmtId="0" fontId="57" fillId="3" borderId="0" xfId="18" applyNumberFormat="1" applyFont="1" applyFill="1" applyAlignment="1">
      <alignment vertical="center"/>
    </xf>
    <xf numFmtId="164" fontId="57" fillId="3" borderId="0" xfId="18" applyFont="1" applyFill="1" applyAlignment="1">
      <alignment vertical="center"/>
    </xf>
    <xf numFmtId="0" fontId="26" fillId="4" borderId="0" xfId="0" applyFont="1" applyFill="1" applyBorder="1"/>
    <xf numFmtId="44" fontId="7" fillId="3" borderId="0" xfId="0" applyNumberFormat="1" applyFont="1" applyFill="1" applyBorder="1"/>
    <xf numFmtId="44" fontId="20" fillId="4" borderId="1" xfId="0" applyNumberFormat="1" applyFont="1" applyFill="1" applyBorder="1" applyAlignment="1">
      <alignment horizontal="center" vertical="center" wrapText="1"/>
    </xf>
    <xf numFmtId="0" fontId="8" fillId="4" borderId="23" xfId="0" applyFont="1" applyFill="1" applyBorder="1"/>
    <xf numFmtId="0" fontId="7" fillId="3" borderId="44"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51" xfId="0" applyFont="1" applyFill="1" applyBorder="1" applyAlignment="1">
      <alignment horizontal="center" vertical="center"/>
    </xf>
    <xf numFmtId="0" fontId="7" fillId="3" borderId="52" xfId="0" applyFont="1" applyFill="1" applyBorder="1" applyAlignment="1">
      <alignment horizontal="center" vertical="center"/>
    </xf>
    <xf numFmtId="168" fontId="7" fillId="3" borderId="52" xfId="18" applyNumberFormat="1" applyFont="1" applyFill="1" applyBorder="1" applyAlignment="1">
      <alignment horizontal="center"/>
    </xf>
    <xf numFmtId="168" fontId="0" fillId="3" borderId="34" xfId="18" applyNumberFormat="1" applyFont="1" applyFill="1" applyBorder="1" applyAlignment="1">
      <alignment horizontal="center"/>
    </xf>
    <xf numFmtId="168" fontId="0" fillId="3" borderId="53" xfId="18" applyNumberFormat="1" applyFont="1" applyFill="1" applyBorder="1" applyAlignment="1">
      <alignment horizontal="center"/>
    </xf>
    <xf numFmtId="0" fontId="7" fillId="3" borderId="54" xfId="0" applyFont="1" applyFill="1" applyBorder="1" applyAlignment="1">
      <alignment horizontal="center" vertical="center"/>
    </xf>
    <xf numFmtId="168" fontId="7" fillId="3" borderId="54" xfId="18" applyNumberFormat="1" applyFont="1" applyFill="1" applyBorder="1" applyAlignment="1">
      <alignment horizontal="center"/>
    </xf>
    <xf numFmtId="168" fontId="0" fillId="3" borderId="3" xfId="18" applyNumberFormat="1" applyFont="1" applyFill="1" applyBorder="1" applyAlignment="1">
      <alignment horizontal="center"/>
    </xf>
    <xf numFmtId="168" fontId="0" fillId="3" borderId="55" xfId="18" applyNumberFormat="1" applyFont="1" applyFill="1" applyBorder="1" applyAlignment="1">
      <alignment horizontal="center"/>
    </xf>
    <xf numFmtId="0" fontId="7" fillId="3" borderId="28" xfId="0" applyFont="1" applyFill="1" applyBorder="1" applyAlignment="1">
      <alignment horizontal="center" vertical="center"/>
    </xf>
    <xf numFmtId="168" fontId="7" fillId="3" borderId="56" xfId="0" applyNumberFormat="1" applyFont="1" applyFill="1" applyBorder="1" applyAlignment="1">
      <alignment vertical="center"/>
    </xf>
    <xf numFmtId="168" fontId="0" fillId="3" borderId="13" xfId="18" applyNumberFormat="1" applyFont="1" applyFill="1" applyBorder="1" applyAlignment="1">
      <alignment vertical="center" wrapText="1"/>
    </xf>
    <xf numFmtId="168" fontId="0" fillId="3" borderId="19" xfId="18" applyNumberFormat="1" applyFont="1" applyFill="1" applyBorder="1" applyAlignment="1">
      <alignment vertical="center" wrapText="1"/>
    </xf>
    <xf numFmtId="164" fontId="9" fillId="3" borderId="0" xfId="18" applyFont="1" applyFill="1" applyBorder="1" applyAlignment="1">
      <alignment vertical="center" wrapText="1"/>
    </xf>
    <xf numFmtId="0" fontId="0" fillId="3" borderId="23" xfId="0" applyFont="1" applyFill="1" applyBorder="1" applyAlignment="1" quotePrefix="1">
      <alignment horizontal="left"/>
    </xf>
    <xf numFmtId="0" fontId="0" fillId="3" borderId="23" xfId="0" applyFont="1" applyFill="1" applyBorder="1" applyAlignment="1" quotePrefix="1">
      <alignment horizontal="left" wrapText="1"/>
    </xf>
    <xf numFmtId="0" fontId="27" fillId="3" borderId="23" xfId="0" applyFont="1" applyFill="1" applyBorder="1" applyAlignment="1" quotePrefix="1">
      <alignment horizontal="left"/>
    </xf>
    <xf numFmtId="164" fontId="27" fillId="3" borderId="0" xfId="18" applyFont="1" applyFill="1" applyAlignment="1">
      <alignment vertical="center"/>
    </xf>
    <xf numFmtId="168" fontId="27" fillId="3" borderId="13" xfId="18" applyNumberFormat="1" applyFont="1" applyFill="1" applyBorder="1" applyAlignment="1">
      <alignment vertical="center"/>
    </xf>
    <xf numFmtId="168" fontId="27" fillId="3" borderId="0" xfId="18" applyNumberFormat="1" applyFont="1" applyFill="1" applyBorder="1" applyAlignment="1">
      <alignment vertical="center"/>
    </xf>
    <xf numFmtId="168" fontId="27" fillId="3" borderId="1" xfId="18" applyNumberFormat="1" applyFont="1" applyFill="1" applyBorder="1" applyAlignment="1">
      <alignment vertical="center"/>
    </xf>
    <xf numFmtId="3" fontId="0" fillId="3" borderId="0" xfId="0" applyNumberFormat="1" applyFont="1" applyFill="1" applyAlignment="1">
      <alignment horizontal="center"/>
    </xf>
    <xf numFmtId="169" fontId="7" fillId="10" borderId="20" xfId="0" applyNumberFormat="1" applyFont="1" applyFill="1" applyBorder="1" applyAlignment="1">
      <alignment horizontal="center" vertical="center"/>
    </xf>
    <xf numFmtId="169" fontId="0" fillId="3" borderId="1" xfId="0" applyNumberFormat="1" applyFont="1" applyFill="1" applyBorder="1" applyAlignment="1">
      <alignment horizontal="center" vertical="center"/>
    </xf>
    <xf numFmtId="169" fontId="7" fillId="10" borderId="21" xfId="0" applyNumberFormat="1" applyFont="1" applyFill="1" applyBorder="1" applyAlignment="1">
      <alignment horizontal="center" vertical="center"/>
    </xf>
    <xf numFmtId="169" fontId="0" fillId="3" borderId="16" xfId="0" applyNumberFormat="1" applyFont="1" applyFill="1" applyBorder="1" applyAlignment="1">
      <alignment horizontal="center" vertical="center"/>
    </xf>
    <xf numFmtId="9" fontId="23" fillId="3" borderId="0" xfId="15" applyFont="1" applyFill="1" applyAlignment="1">
      <alignment horizontal="center" vertical="center"/>
    </xf>
    <xf numFmtId="9" fontId="23" fillId="11" borderId="13" xfId="15" applyFont="1" applyFill="1" applyBorder="1" applyAlignment="1">
      <alignment horizontal="center" vertical="center"/>
    </xf>
    <xf numFmtId="9" fontId="23" fillId="11" borderId="0" xfId="15" applyFont="1" applyFill="1" applyBorder="1" applyAlignment="1">
      <alignment horizontal="center" vertical="center"/>
    </xf>
    <xf numFmtId="9" fontId="23" fillId="11" borderId="1" xfId="15" applyFont="1" applyFill="1" applyBorder="1" applyAlignment="1">
      <alignment horizontal="center" vertical="center"/>
    </xf>
    <xf numFmtId="169" fontId="0" fillId="3" borderId="0" xfId="0" applyNumberFormat="1" applyFill="1"/>
    <xf numFmtId="3" fontId="7" fillId="3" borderId="6" xfId="18" applyNumberFormat="1" applyFont="1" applyFill="1" applyBorder="1" applyAlignment="1">
      <alignment horizontal="center"/>
    </xf>
    <xf numFmtId="170" fontId="7" fillId="3" borderId="8" xfId="0" applyNumberFormat="1" applyFont="1" applyFill="1" applyBorder="1" applyAlignment="1">
      <alignment horizontal="center"/>
    </xf>
    <xf numFmtId="0" fontId="0" fillId="3" borderId="8" xfId="0" applyFont="1" applyFill="1" applyBorder="1" applyAlignment="1">
      <alignment horizontal="center"/>
    </xf>
    <xf numFmtId="0" fontId="0" fillId="3" borderId="7" xfId="0" applyFont="1" applyFill="1" applyBorder="1" applyAlignment="1">
      <alignment horizontal="center"/>
    </xf>
    <xf numFmtId="9" fontId="0" fillId="3" borderId="14" xfId="15" applyFont="1" applyFill="1" applyBorder="1" applyAlignment="1">
      <alignment horizontal="center"/>
    </xf>
    <xf numFmtId="9" fontId="0" fillId="3" borderId="24" xfId="15" applyFont="1" applyFill="1" applyBorder="1" applyAlignment="1">
      <alignment horizontal="center"/>
    </xf>
    <xf numFmtId="170" fontId="0" fillId="3" borderId="36" xfId="0" applyNumberFormat="1" applyFont="1" applyFill="1" applyBorder="1" applyAlignment="1">
      <alignment horizontal="center"/>
    </xf>
    <xf numFmtId="164" fontId="0" fillId="3" borderId="0" xfId="18" applyFont="1" applyFill="1" applyAlignment="1">
      <alignment horizontal="center" vertical="center"/>
    </xf>
    <xf numFmtId="0" fontId="7" fillId="3" borderId="25" xfId="0" applyFont="1" applyFill="1" applyBorder="1" applyAlignment="1">
      <alignment horizontal="left" vertical="center"/>
    </xf>
    <xf numFmtId="170" fontId="0" fillId="3" borderId="44" xfId="0" applyNumberFormat="1" applyFont="1" applyFill="1" applyBorder="1" applyAlignment="1">
      <alignment horizontal="center" vertical="center"/>
    </xf>
    <xf numFmtId="170" fontId="0" fillId="3" borderId="26" xfId="0" applyNumberFormat="1" applyFont="1" applyFill="1" applyBorder="1" applyAlignment="1">
      <alignment horizontal="center" vertical="center"/>
    </xf>
    <xf numFmtId="170" fontId="0" fillId="3" borderId="27" xfId="0" applyNumberFormat="1" applyFont="1" applyFill="1" applyBorder="1" applyAlignment="1">
      <alignment horizontal="center" vertical="center"/>
    </xf>
    <xf numFmtId="164" fontId="0" fillId="3" borderId="0" xfId="18" applyFont="1" applyFill="1" applyBorder="1" applyAlignment="1" quotePrefix="1">
      <alignment vertical="center"/>
    </xf>
    <xf numFmtId="0" fontId="7" fillId="3" borderId="44" xfId="0" applyFont="1" applyFill="1" applyBorder="1" applyAlignment="1">
      <alignment vertical="center"/>
    </xf>
    <xf numFmtId="0" fontId="7" fillId="3" borderId="25" xfId="0" applyFont="1" applyFill="1" applyBorder="1" applyAlignment="1">
      <alignment horizontal="center" vertical="center"/>
    </xf>
    <xf numFmtId="0" fontId="59" fillId="3" borderId="0" xfId="0" applyFont="1" applyFill="1"/>
    <xf numFmtId="0" fontId="59" fillId="3" borderId="0" xfId="0" applyFont="1" applyFill="1" applyAlignment="1">
      <alignment horizontal="center" vertical="center"/>
    </xf>
    <xf numFmtId="175" fontId="59" fillId="3" borderId="0" xfId="0" applyNumberFormat="1" applyFont="1" applyFill="1" applyAlignment="1">
      <alignment horizontal="center" vertical="center"/>
    </xf>
    <xf numFmtId="175" fontId="21" fillId="3" borderId="1" xfId="16" applyNumberFormat="1" applyFont="1" applyFill="1" applyBorder="1" applyAlignment="1">
      <alignment horizontal="center" vertical="center" wrapText="1"/>
    </xf>
    <xf numFmtId="175" fontId="22" fillId="3" borderId="1" xfId="0" applyNumberFormat="1" applyFont="1" applyFill="1" applyBorder="1" applyAlignment="1">
      <alignment horizontal="center" vertical="center" wrapText="1"/>
    </xf>
    <xf numFmtId="175" fontId="6" fillId="3" borderId="1" xfId="15" applyNumberFormat="1" applyFont="1" applyFill="1" applyBorder="1" applyAlignment="1">
      <alignment horizontal="center" vertical="center" wrapText="1"/>
    </xf>
    <xf numFmtId="175" fontId="6" fillId="3" borderId="21" xfId="15" applyNumberFormat="1" applyFont="1" applyFill="1" applyBorder="1" applyAlignment="1">
      <alignment horizontal="center" vertical="center" wrapText="1"/>
    </xf>
    <xf numFmtId="0" fontId="6" fillId="3" borderId="0" xfId="0" applyFont="1" applyFill="1" applyAlignment="1">
      <alignment horizontal="center"/>
    </xf>
    <xf numFmtId="169" fontId="0" fillId="3" borderId="0" xfId="16" applyNumberFormat="1" applyFont="1" applyFill="1"/>
    <xf numFmtId="0" fontId="22" fillId="3" borderId="23"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23" xfId="0" applyFont="1" applyFill="1" applyBorder="1" applyAlignment="1">
      <alignment vertical="center" wrapText="1"/>
    </xf>
    <xf numFmtId="0" fontId="22" fillId="3" borderId="23" xfId="0" applyFont="1" applyFill="1" applyBorder="1" applyAlignment="1">
      <alignment vertical="center" wrapText="1"/>
    </xf>
    <xf numFmtId="10" fontId="38" fillId="3" borderId="1" xfId="0" applyNumberFormat="1" applyFont="1" applyFill="1" applyBorder="1" applyAlignment="1">
      <alignment horizontal="center"/>
    </xf>
    <xf numFmtId="10" fontId="38" fillId="3" borderId="21" xfId="0" applyNumberFormat="1" applyFont="1" applyFill="1" applyBorder="1" applyAlignment="1">
      <alignment horizontal="center"/>
    </xf>
    <xf numFmtId="164" fontId="0" fillId="3" borderId="22" xfId="0" applyNumberFormat="1" applyFill="1" applyBorder="1" applyAlignment="1">
      <alignment vertical="center"/>
    </xf>
    <xf numFmtId="164" fontId="0" fillId="3" borderId="23" xfId="0" applyNumberFormat="1" applyFill="1" applyBorder="1" applyAlignment="1">
      <alignment vertical="center"/>
    </xf>
    <xf numFmtId="168" fontId="0" fillId="3" borderId="0" xfId="18" applyNumberFormat="1" applyFont="1" applyFill="1" applyAlignment="1">
      <alignment vertical="center"/>
    </xf>
    <xf numFmtId="168" fontId="0" fillId="12" borderId="13" xfId="18" applyNumberFormat="1" applyFont="1" applyFill="1" applyBorder="1" applyAlignment="1">
      <alignment vertical="center"/>
    </xf>
    <xf numFmtId="168" fontId="0" fillId="12" borderId="0" xfId="18" applyNumberFormat="1" applyFont="1" applyFill="1" applyBorder="1" applyAlignment="1">
      <alignment vertical="center"/>
    </xf>
    <xf numFmtId="168" fontId="0" fillId="12" borderId="1" xfId="18" applyNumberFormat="1" applyFont="1" applyFill="1" applyBorder="1" applyAlignment="1">
      <alignment vertical="center"/>
    </xf>
    <xf numFmtId="168" fontId="0" fillId="3" borderId="0" xfId="18" applyNumberFormat="1" applyFont="1" applyFill="1" applyBorder="1" applyAlignment="1">
      <alignment horizontal="center" vertical="center" wrapText="1"/>
    </xf>
    <xf numFmtId="168" fontId="0" fillId="3" borderId="13" xfId="18" applyNumberFormat="1" applyFont="1" applyFill="1" applyBorder="1" applyAlignment="1">
      <alignment horizontal="left" vertical="center" wrapText="1"/>
    </xf>
    <xf numFmtId="168" fontId="0" fillId="3" borderId="13" xfId="18" applyNumberFormat="1" applyFont="1" applyFill="1" applyBorder="1" applyAlignment="1">
      <alignment horizontal="left" vertical="center" wrapText="1"/>
    </xf>
    <xf numFmtId="168" fontId="0" fillId="3" borderId="0" xfId="18" applyNumberFormat="1" applyFont="1" applyFill="1" applyBorder="1" applyAlignment="1">
      <alignment horizontal="right" vertical="center" wrapText="1"/>
    </xf>
    <xf numFmtId="168" fontId="0" fillId="3" borderId="0" xfId="18" applyNumberFormat="1" applyFont="1" applyFill="1" applyBorder="1" applyAlignment="1">
      <alignment horizontal="right" vertical="center" wrapText="1"/>
    </xf>
    <xf numFmtId="168" fontId="7" fillId="3" borderId="19" xfId="18" applyNumberFormat="1" applyFont="1" applyFill="1" applyBorder="1" applyAlignment="1">
      <alignment vertical="center"/>
    </xf>
    <xf numFmtId="168" fontId="7" fillId="3" borderId="20" xfId="18" applyNumberFormat="1" applyFont="1" applyFill="1" applyBorder="1" applyAlignment="1">
      <alignment vertical="center"/>
    </xf>
    <xf numFmtId="168" fontId="7" fillId="3" borderId="21" xfId="18" applyNumberFormat="1" applyFont="1" applyFill="1" applyBorder="1" applyAlignment="1">
      <alignment vertical="center"/>
    </xf>
    <xf numFmtId="168" fontId="29" fillId="7" borderId="19" xfId="18" applyNumberFormat="1" applyFont="1" applyFill="1" applyBorder="1" applyAlignment="1">
      <alignment vertical="center"/>
    </xf>
    <xf numFmtId="168" fontId="29" fillId="7" borderId="20" xfId="18" applyNumberFormat="1" applyFont="1" applyFill="1" applyBorder="1" applyAlignment="1">
      <alignment vertical="center"/>
    </xf>
    <xf numFmtId="168" fontId="29" fillId="7" borderId="21" xfId="18" applyNumberFormat="1" applyFont="1" applyFill="1" applyBorder="1" applyAlignment="1">
      <alignment vertical="center"/>
    </xf>
    <xf numFmtId="0" fontId="28" fillId="7" borderId="26" xfId="0" applyFont="1" applyFill="1" applyBorder="1" applyAlignment="1">
      <alignment horizontal="center" vertical="center"/>
    </xf>
    <xf numFmtId="168" fontId="0" fillId="3" borderId="0" xfId="18" applyNumberFormat="1" applyFont="1" applyFill="1" applyBorder="1" applyAlignment="1">
      <alignment horizontal="left" vertical="center" wrapText="1"/>
    </xf>
    <xf numFmtId="0" fontId="7" fillId="3" borderId="9" xfId="0" applyFont="1" applyFill="1" applyBorder="1" applyAlignment="1">
      <alignment horizontal="center" vertical="center"/>
    </xf>
    <xf numFmtId="0" fontId="28" fillId="7" borderId="44" xfId="0" applyFont="1" applyFill="1" applyBorder="1" applyAlignment="1">
      <alignment vertical="center"/>
    </xf>
    <xf numFmtId="0" fontId="28" fillId="7" borderId="26" xfId="0" applyFont="1" applyFill="1" applyBorder="1" applyAlignment="1">
      <alignment vertical="center"/>
    </xf>
    <xf numFmtId="0" fontId="22" fillId="3" borderId="25" xfId="0" applyFont="1" applyFill="1" applyBorder="1" applyAlignment="1">
      <alignment vertical="center" wrapText="1"/>
    </xf>
    <xf numFmtId="0" fontId="5" fillId="3" borderId="25" xfId="0" applyFont="1" applyFill="1" applyBorder="1"/>
    <xf numFmtId="0" fontId="5" fillId="3" borderId="26" xfId="0" applyFont="1" applyFill="1" applyBorder="1" applyAlignment="1">
      <alignment/>
    </xf>
    <xf numFmtId="0" fontId="5" fillId="3" borderId="27" xfId="0" applyFont="1" applyFill="1" applyBorder="1" applyAlignment="1">
      <alignment/>
    </xf>
    <xf numFmtId="0" fontId="21" fillId="3" borderId="26" xfId="0" applyFont="1" applyFill="1" applyBorder="1"/>
    <xf numFmtId="0" fontId="21" fillId="3" borderId="27" xfId="0" applyFont="1" applyFill="1" applyBorder="1"/>
    <xf numFmtId="0" fontId="0" fillId="3" borderId="0" xfId="0" applyFill="1" applyAlignment="1">
      <alignment horizontal="center" vertical="center"/>
    </xf>
    <xf numFmtId="3" fontId="0" fillId="3" borderId="7" xfId="18" applyNumberFormat="1" applyFont="1" applyFill="1" applyBorder="1" applyAlignment="1">
      <alignment horizontal="center"/>
    </xf>
    <xf numFmtId="0" fontId="8" fillId="4" borderId="0" xfId="0" applyFont="1" applyFill="1" applyAlignment="1">
      <alignment horizontal="center"/>
    </xf>
    <xf numFmtId="44" fontId="26" fillId="6" borderId="23" xfId="16" applyFont="1" applyFill="1" applyBorder="1" applyAlignment="1">
      <alignment horizontal="center"/>
    </xf>
    <xf numFmtId="0" fontId="26" fillId="4" borderId="21" xfId="0" applyFont="1" applyFill="1" applyBorder="1" applyAlignment="1">
      <alignment horizontal="center"/>
    </xf>
    <xf numFmtId="0" fontId="26" fillId="4" borderId="0" xfId="0" applyFont="1" applyFill="1" applyBorder="1" applyAlignment="1">
      <alignment horizontal="center"/>
    </xf>
    <xf numFmtId="0" fontId="0" fillId="3" borderId="23" xfId="0" applyFill="1" applyBorder="1" applyAlignment="1">
      <alignment horizontal="center"/>
    </xf>
    <xf numFmtId="44" fontId="20" fillId="4" borderId="23" xfId="0" applyNumberFormat="1" applyFont="1" applyFill="1" applyBorder="1" applyAlignment="1">
      <alignment horizontal="center" vertical="center" wrapText="1"/>
    </xf>
    <xf numFmtId="44" fontId="20" fillId="3" borderId="18" xfId="0" applyNumberFormat="1" applyFont="1" applyFill="1" applyBorder="1" applyAlignment="1">
      <alignment horizontal="center"/>
    </xf>
    <xf numFmtId="10" fontId="38" fillId="4" borderId="23" xfId="15" applyNumberFormat="1" applyFont="1" applyFill="1" applyBorder="1" applyAlignment="1">
      <alignment horizontal="center" vertical="center"/>
    </xf>
    <xf numFmtId="0" fontId="0" fillId="3" borderId="16" xfId="0" applyFill="1" applyBorder="1"/>
    <xf numFmtId="0" fontId="0" fillId="3" borderId="16" xfId="0" applyFill="1" applyBorder="1" applyAlignment="1">
      <alignment horizontal="center"/>
    </xf>
    <xf numFmtId="0" fontId="0" fillId="3" borderId="57" xfId="0" applyFill="1" applyBorder="1"/>
    <xf numFmtId="0" fontId="0" fillId="3" borderId="57" xfId="0" applyFill="1" applyBorder="1" applyAlignment="1">
      <alignment horizontal="center"/>
    </xf>
    <xf numFmtId="44" fontId="0" fillId="3" borderId="0" xfId="16" applyFont="1" applyFill="1" applyBorder="1"/>
    <xf numFmtId="44" fontId="0" fillId="3" borderId="1" xfId="16" applyFont="1" applyFill="1" applyBorder="1"/>
    <xf numFmtId="44" fontId="0" fillId="3" borderId="13" xfId="16" applyFont="1" applyFill="1" applyBorder="1"/>
    <xf numFmtId="167" fontId="0" fillId="3" borderId="0" xfId="0" applyNumberFormat="1" applyFill="1" applyBorder="1"/>
    <xf numFmtId="0" fontId="40" fillId="3" borderId="18"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59" xfId="0" applyFont="1" applyFill="1" applyBorder="1" applyAlignment="1">
      <alignment horizontal="center" vertical="center"/>
    </xf>
    <xf numFmtId="0" fontId="0" fillId="3" borderId="60" xfId="0" applyFill="1" applyBorder="1"/>
    <xf numFmtId="164" fontId="9" fillId="3" borderId="3" xfId="0" applyNumberFormat="1" applyFont="1" applyFill="1" applyBorder="1" applyAlignment="1" quotePrefix="1">
      <alignment horizontal="left"/>
    </xf>
    <xf numFmtId="166" fontId="6" fillId="3" borderId="23" xfId="0" applyNumberFormat="1" applyFont="1" applyFill="1" applyBorder="1" applyAlignment="1">
      <alignment horizontal="left" vertical="center" wrapText="1"/>
    </xf>
    <xf numFmtId="166" fontId="6" fillId="3" borderId="0" xfId="0" applyNumberFormat="1" applyFont="1" applyFill="1"/>
    <xf numFmtId="9" fontId="7" fillId="3" borderId="9" xfId="15" applyNumberFormat="1" applyFont="1" applyFill="1" applyBorder="1" applyAlignment="1">
      <alignment horizontal="center"/>
    </xf>
    <xf numFmtId="0" fontId="3" fillId="0" borderId="0" xfId="2189"/>
    <xf numFmtId="9" fontId="0" fillId="3" borderId="0" xfId="15" applyFont="1" applyFill="1"/>
    <xf numFmtId="169" fontId="7" fillId="3" borderId="0" xfId="0" applyNumberFormat="1" applyFont="1" applyFill="1"/>
    <xf numFmtId="44" fontId="0" fillId="3" borderId="0" xfId="0" applyNumberFormat="1" applyFill="1"/>
    <xf numFmtId="3" fontId="32" fillId="3" borderId="0" xfId="0" applyNumberFormat="1" applyFont="1" applyFill="1" applyAlignment="1">
      <alignment horizontal="center" vertical="center" wrapText="1"/>
    </xf>
    <xf numFmtId="168" fontId="20" fillId="3" borderId="0" xfId="18" applyNumberFormat="1" applyFont="1" applyFill="1" applyBorder="1" applyAlignment="1">
      <alignment vertical="center"/>
    </xf>
    <xf numFmtId="168" fontId="20" fillId="3" borderId="1" xfId="18" applyNumberFormat="1" applyFont="1" applyFill="1" applyBorder="1" applyAlignment="1">
      <alignment vertical="center"/>
    </xf>
    <xf numFmtId="44" fontId="0" fillId="3" borderId="0" xfId="16" applyFont="1" applyFill="1" applyAlignment="1">
      <alignment vertical="center"/>
    </xf>
    <xf numFmtId="17" fontId="20" fillId="3" borderId="26" xfId="0" applyNumberFormat="1" applyFont="1" applyFill="1" applyBorder="1" applyAlignment="1">
      <alignment horizontal="center"/>
    </xf>
    <xf numFmtId="0" fontId="28" fillId="7" borderId="27" xfId="0" applyFont="1" applyFill="1" applyBorder="1" applyAlignment="1">
      <alignment horizontal="center" vertical="center"/>
    </xf>
    <xf numFmtId="0" fontId="8" fillId="4" borderId="13" xfId="0" applyFont="1" applyFill="1" applyBorder="1" applyAlignment="1">
      <alignment horizontal="left"/>
    </xf>
    <xf numFmtId="168" fontId="0" fillId="3" borderId="13" xfId="18" applyNumberFormat="1" applyFont="1" applyFill="1" applyBorder="1" applyAlignment="1">
      <alignment horizontal="left" vertical="center" wrapText="1"/>
    </xf>
    <xf numFmtId="168" fontId="0" fillId="3" borderId="0" xfId="18" applyNumberFormat="1" applyFont="1" applyFill="1" applyBorder="1" applyAlignment="1">
      <alignment horizontal="left" vertical="center" wrapText="1"/>
    </xf>
    <xf numFmtId="0" fontId="7" fillId="3" borderId="25" xfId="0" applyFont="1" applyFill="1" applyBorder="1" applyAlignment="1">
      <alignment horizontal="center" vertical="center" wrapText="1"/>
    </xf>
    <xf numFmtId="164" fontId="0" fillId="3" borderId="18" xfId="0" applyNumberFormat="1" applyFill="1" applyBorder="1" applyAlignment="1">
      <alignment vertical="center"/>
    </xf>
    <xf numFmtId="8" fontId="0" fillId="3" borderId="0" xfId="0" applyNumberFormat="1" applyFill="1"/>
    <xf numFmtId="168" fontId="29" fillId="7" borderId="22" xfId="18" applyNumberFormat="1" applyFont="1" applyFill="1" applyBorder="1" applyAlignment="1">
      <alignment vertical="center"/>
    </xf>
    <xf numFmtId="168" fontId="29" fillId="7" borderId="23" xfId="18" applyNumberFormat="1" applyFont="1" applyFill="1" applyBorder="1" applyAlignment="1">
      <alignment vertical="center"/>
    </xf>
    <xf numFmtId="168" fontId="29" fillId="7" borderId="18" xfId="18" applyNumberFormat="1" applyFont="1" applyFill="1" applyBorder="1" applyAlignment="1">
      <alignment vertical="center"/>
    </xf>
    <xf numFmtId="0" fontId="7" fillId="3" borderId="27" xfId="0" applyFont="1" applyFill="1" applyBorder="1" applyAlignment="1">
      <alignment horizontal="center" vertical="center"/>
    </xf>
    <xf numFmtId="0" fontId="7" fillId="3" borderId="44" xfId="0" applyFont="1" applyFill="1" applyBorder="1" applyAlignment="1">
      <alignment horizontal="center" vertical="center" wrapText="1"/>
    </xf>
    <xf numFmtId="0" fontId="7" fillId="3" borderId="27" xfId="0" applyFont="1" applyFill="1" applyBorder="1" applyAlignment="1">
      <alignment horizontal="center" vertical="center" wrapText="1"/>
    </xf>
    <xf numFmtId="176" fontId="7" fillId="3" borderId="0" xfId="0" applyNumberFormat="1" applyFont="1" applyFill="1" applyAlignment="1">
      <alignment vertical="center"/>
    </xf>
    <xf numFmtId="169" fontId="7" fillId="3" borderId="0" xfId="16" applyNumberFormat="1" applyFont="1" applyFill="1"/>
    <xf numFmtId="0" fontId="7" fillId="13" borderId="25" xfId="0" applyFont="1" applyFill="1" applyBorder="1" applyAlignment="1">
      <alignment horizontal="center"/>
    </xf>
    <xf numFmtId="169" fontId="40" fillId="3" borderId="26" xfId="16" applyNumberFormat="1" applyFont="1" applyFill="1" applyBorder="1" applyAlignment="1">
      <alignment vertical="center"/>
    </xf>
    <xf numFmtId="169" fontId="40" fillId="3" borderId="27" xfId="16" applyNumberFormat="1" applyFont="1" applyFill="1" applyBorder="1" applyAlignment="1">
      <alignment vertical="center"/>
    </xf>
    <xf numFmtId="169" fontId="40" fillId="3" borderId="0" xfId="16" applyNumberFormat="1" applyFont="1" applyFill="1" applyAlignment="1">
      <alignment vertical="center"/>
    </xf>
    <xf numFmtId="176" fontId="7" fillId="3" borderId="61" xfId="0" applyNumberFormat="1" applyFont="1" applyFill="1" applyBorder="1" applyAlignment="1">
      <alignment vertical="center"/>
    </xf>
    <xf numFmtId="169" fontId="0" fillId="3" borderId="61" xfId="16" applyNumberFormat="1" applyFont="1" applyFill="1" applyBorder="1"/>
    <xf numFmtId="0" fontId="0" fillId="3" borderId="61" xfId="0" applyFill="1" applyBorder="1"/>
    <xf numFmtId="169" fontId="40" fillId="3" borderId="25" xfId="16" applyNumberFormat="1" applyFont="1" applyFill="1" applyBorder="1" applyAlignment="1">
      <alignment horizontal="center" vertical="center" wrapText="1"/>
    </xf>
    <xf numFmtId="164" fontId="20" fillId="3" borderId="1" xfId="18" applyFont="1" applyFill="1" applyBorder="1" applyAlignment="1">
      <alignment vertical="center"/>
    </xf>
    <xf numFmtId="0" fontId="40" fillId="3" borderId="44" xfId="0" applyFont="1" applyFill="1" applyBorder="1" applyAlignment="1">
      <alignment/>
    </xf>
    <xf numFmtId="0" fontId="7" fillId="3" borderId="44" xfId="0" applyFont="1" applyFill="1" applyBorder="1" applyAlignment="1">
      <alignment vertical="center" wrapText="1"/>
    </xf>
    <xf numFmtId="0" fontId="0" fillId="3" borderId="27" xfId="0" applyFill="1" applyBorder="1"/>
    <xf numFmtId="169" fontId="7" fillId="3" borderId="23" xfId="16" applyNumberFormat="1" applyFont="1" applyFill="1" applyBorder="1" applyAlignment="1">
      <alignment horizontal="center" vertical="center" wrapText="1"/>
    </xf>
    <xf numFmtId="169" fontId="7" fillId="3" borderId="15" xfId="16" applyNumberFormat="1" applyFont="1" applyFill="1" applyBorder="1" applyAlignment="1">
      <alignment horizontal="center" vertical="center" wrapText="1"/>
    </xf>
    <xf numFmtId="169" fontId="7" fillId="3" borderId="16" xfId="16" applyNumberFormat="1" applyFont="1" applyFill="1" applyBorder="1" applyAlignment="1">
      <alignment horizontal="center" vertical="center" wrapText="1"/>
    </xf>
    <xf numFmtId="169" fontId="7" fillId="3" borderId="17" xfId="16" applyNumberFormat="1" applyFont="1" applyFill="1" applyBorder="1" applyAlignment="1">
      <alignment horizontal="center" vertical="center" wrapText="1"/>
    </xf>
    <xf numFmtId="169" fontId="0" fillId="3" borderId="0" xfId="16" applyNumberFormat="1" applyFont="1" applyFill="1" applyAlignment="1">
      <alignment horizontal="center" vertical="center"/>
    </xf>
    <xf numFmtId="169" fontId="7" fillId="3" borderId="26" xfId="16" applyNumberFormat="1" applyFont="1" applyFill="1" applyBorder="1" applyAlignment="1">
      <alignment horizontal="center" vertical="center" wrapText="1"/>
    </xf>
    <xf numFmtId="169" fontId="7" fillId="3" borderId="27" xfId="16" applyNumberFormat="1" applyFont="1" applyFill="1" applyBorder="1" applyAlignment="1">
      <alignment horizontal="center" vertical="center" wrapText="1"/>
    </xf>
    <xf numFmtId="169" fontId="7" fillId="3" borderId="44" xfId="16" applyNumberFormat="1"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3" borderId="0" xfId="0" applyFont="1" applyFill="1" applyBorder="1"/>
    <xf numFmtId="0" fontId="0" fillId="3" borderId="13" xfId="0" applyFont="1" applyFill="1" applyBorder="1"/>
    <xf numFmtId="0" fontId="0" fillId="3" borderId="1" xfId="0" applyFont="1" applyFill="1" applyBorder="1"/>
    <xf numFmtId="168" fontId="20" fillId="3" borderId="13" xfId="18" applyNumberFormat="1" applyFont="1" applyFill="1" applyBorder="1" applyAlignment="1">
      <alignment vertical="center"/>
    </xf>
    <xf numFmtId="167" fontId="7" fillId="3" borderId="0" xfId="15" applyNumberFormat="1" applyFont="1" applyFill="1"/>
    <xf numFmtId="168" fontId="61" fillId="3" borderId="0" xfId="18" applyNumberFormat="1" applyFont="1" applyFill="1" applyBorder="1" applyAlignment="1">
      <alignment vertical="center"/>
    </xf>
    <xf numFmtId="169" fontId="0" fillId="3" borderId="26" xfId="16" applyNumberFormat="1" applyFont="1" applyFill="1" applyBorder="1" applyAlignment="1">
      <alignment horizontal="center"/>
    </xf>
    <xf numFmtId="169" fontId="8" fillId="4" borderId="0" xfId="0" applyNumberFormat="1" applyFont="1" applyFill="1"/>
    <xf numFmtId="169" fontId="26" fillId="6" borderId="22" xfId="16" applyNumberFormat="1" applyFont="1" applyFill="1" applyBorder="1" applyAlignment="1">
      <alignment horizontal="center"/>
    </xf>
    <xf numFmtId="169" fontId="7" fillId="5" borderId="15" xfId="16" applyNumberFormat="1" applyFont="1" applyFill="1" applyBorder="1"/>
    <xf numFmtId="169" fontId="7" fillId="5" borderId="16" xfId="16" applyNumberFormat="1" applyFont="1" applyFill="1" applyBorder="1"/>
    <xf numFmtId="169" fontId="7" fillId="5" borderId="17" xfId="16" applyNumberFormat="1" applyFont="1" applyFill="1" applyBorder="1"/>
    <xf numFmtId="44" fontId="0" fillId="3" borderId="20" xfId="0" applyNumberFormat="1" applyFont="1" applyFill="1" applyBorder="1"/>
    <xf numFmtId="44" fontId="0" fillId="3" borderId="21" xfId="0" applyNumberFormat="1" applyFont="1" applyFill="1" applyBorder="1"/>
    <xf numFmtId="44" fontId="0" fillId="3" borderId="19" xfId="0" applyNumberFormat="1" applyFont="1" applyFill="1" applyBorder="1"/>
    <xf numFmtId="169" fontId="20" fillId="3" borderId="20" xfId="0" applyNumberFormat="1" applyFont="1" applyFill="1" applyBorder="1"/>
    <xf numFmtId="169" fontId="20" fillId="3" borderId="21" xfId="0" applyNumberFormat="1" applyFont="1" applyFill="1" applyBorder="1"/>
    <xf numFmtId="44" fontId="50" fillId="3" borderId="62" xfId="16" applyFont="1" applyFill="1" applyBorder="1" applyAlignment="1">
      <alignment horizontal="right"/>
    </xf>
    <xf numFmtId="169" fontId="0" fillId="3" borderId="15" xfId="16" applyNumberFormat="1" applyFont="1" applyFill="1" applyBorder="1"/>
    <xf numFmtId="169" fontId="0" fillId="3" borderId="16" xfId="16" applyNumberFormat="1" applyFont="1" applyFill="1" applyBorder="1"/>
    <xf numFmtId="169" fontId="0" fillId="3" borderId="17" xfId="16" applyNumberFormat="1" applyFont="1" applyFill="1" applyBorder="1"/>
    <xf numFmtId="169" fontId="0" fillId="3" borderId="19" xfId="16" applyNumberFormat="1" applyFont="1" applyFill="1" applyBorder="1"/>
    <xf numFmtId="169" fontId="0" fillId="3" borderId="20" xfId="16" applyNumberFormat="1" applyFont="1" applyFill="1" applyBorder="1"/>
    <xf numFmtId="169" fontId="0" fillId="3" borderId="21" xfId="16" applyNumberFormat="1" applyFont="1" applyFill="1" applyBorder="1"/>
    <xf numFmtId="168" fontId="7" fillId="3" borderId="13" xfId="18" applyNumberFormat="1" applyFont="1" applyFill="1" applyBorder="1" applyAlignment="1">
      <alignment vertical="center"/>
    </xf>
    <xf numFmtId="168" fontId="7" fillId="3" borderId="0" xfId="18" applyNumberFormat="1" applyFont="1" applyFill="1" applyBorder="1" applyAlignment="1">
      <alignment vertical="center"/>
    </xf>
    <xf numFmtId="168" fontId="7" fillId="3" borderId="1" xfId="18" applyNumberFormat="1" applyFont="1" applyFill="1" applyBorder="1" applyAlignment="1">
      <alignment vertical="center"/>
    </xf>
    <xf numFmtId="0" fontId="0" fillId="0" borderId="0" xfId="0" applyFont="1" applyAlignment="1">
      <alignment vertical="center"/>
    </xf>
    <xf numFmtId="0" fontId="7" fillId="0" borderId="0" xfId="0" applyFont="1" applyAlignment="1">
      <alignment vertical="center"/>
    </xf>
    <xf numFmtId="0" fontId="21" fillId="3" borderId="0" xfId="0" applyFont="1" applyFill="1" applyAlignment="1">
      <alignment horizontal="center" vertical="center"/>
    </xf>
    <xf numFmtId="168" fontId="6" fillId="3" borderId="0" xfId="18" applyNumberFormat="1" applyFont="1" applyFill="1" applyAlignment="1">
      <alignment vertical="center"/>
    </xf>
    <xf numFmtId="175" fontId="6" fillId="3" borderId="1" xfId="0" applyNumberFormat="1" applyFont="1" applyFill="1" applyBorder="1" applyAlignment="1">
      <alignment horizontal="center" vertical="center" wrapText="1"/>
    </xf>
    <xf numFmtId="1" fontId="6" fillId="3" borderId="23" xfId="0" applyNumberFormat="1" applyFont="1" applyFill="1" applyBorder="1" applyAlignment="1">
      <alignment horizontal="left" vertical="center" wrapText="1"/>
    </xf>
    <xf numFmtId="170" fontId="30" fillId="3" borderId="0" xfId="0" applyNumberFormat="1" applyFont="1" applyFill="1"/>
    <xf numFmtId="168" fontId="61" fillId="3" borderId="1" xfId="18" applyNumberFormat="1" applyFont="1" applyFill="1" applyBorder="1" applyAlignment="1">
      <alignment vertical="center"/>
    </xf>
    <xf numFmtId="164" fontId="30" fillId="3" borderId="0" xfId="18" applyFont="1" applyFill="1" applyAlignment="1">
      <alignment horizontal="left"/>
    </xf>
    <xf numFmtId="164" fontId="0" fillId="3" borderId="0" xfId="0" applyNumberFormat="1" applyFont="1" applyFill="1" applyAlignment="1">
      <alignment horizontal="left"/>
    </xf>
    <xf numFmtId="0" fontId="7" fillId="3" borderId="9" xfId="0" applyFont="1" applyFill="1" applyBorder="1" applyAlignment="1">
      <alignment horizontal="center" vertical="center"/>
    </xf>
    <xf numFmtId="0" fontId="7" fillId="3" borderId="27" xfId="0" applyFont="1" applyFill="1" applyBorder="1" applyAlignment="1">
      <alignment horizontal="center" vertical="center"/>
    </xf>
    <xf numFmtId="164" fontId="0" fillId="3" borderId="0" xfId="18" applyFont="1" applyFill="1"/>
    <xf numFmtId="168" fontId="35" fillId="3" borderId="0" xfId="18" applyNumberFormat="1" applyFont="1" applyFill="1" applyAlignment="1">
      <alignment horizontal="center"/>
    </xf>
    <xf numFmtId="164" fontId="0" fillId="3" borderId="0" xfId="0" applyNumberFormat="1" applyFill="1"/>
    <xf numFmtId="177" fontId="0" fillId="3" borderId="0" xfId="0" applyNumberFormat="1" applyFill="1"/>
    <xf numFmtId="44" fontId="0" fillId="3" borderId="0" xfId="16" applyFont="1" applyFill="1" applyBorder="1" applyAlignment="1">
      <alignment horizontal="left" vertical="center" wrapText="1"/>
    </xf>
    <xf numFmtId="177" fontId="0" fillId="3" borderId="0" xfId="18" applyNumberFormat="1" applyFont="1" applyFill="1" applyBorder="1" applyAlignment="1">
      <alignment horizontal="left" vertical="center" wrapText="1"/>
    </xf>
    <xf numFmtId="2" fontId="38" fillId="3" borderId="1" xfId="18" applyNumberFormat="1" applyFont="1" applyFill="1" applyBorder="1" applyAlignment="1">
      <alignment horizontal="center"/>
    </xf>
    <xf numFmtId="10" fontId="38" fillId="3" borderId="63" xfId="0" applyNumberFormat="1" applyFont="1" applyFill="1" applyBorder="1" applyAlignment="1">
      <alignment horizontal="center"/>
    </xf>
    <xf numFmtId="10" fontId="38" fillId="3" borderId="64" xfId="0" applyNumberFormat="1" applyFont="1" applyFill="1" applyBorder="1" applyAlignment="1">
      <alignment horizontal="center"/>
    </xf>
    <xf numFmtId="0" fontId="7" fillId="3" borderId="25" xfId="0" applyFont="1" applyFill="1" applyBorder="1" applyAlignment="1">
      <alignment vertical="center"/>
    </xf>
    <xf numFmtId="0" fontId="0" fillId="3" borderId="23" xfId="0" applyFill="1" applyBorder="1"/>
    <xf numFmtId="168" fontId="61" fillId="3" borderId="13" xfId="18" applyNumberFormat="1" applyFont="1" applyFill="1" applyBorder="1" applyAlignment="1">
      <alignment vertical="center"/>
    </xf>
    <xf numFmtId="44" fontId="1" fillId="3" borderId="3" xfId="16" applyFont="1" applyFill="1" applyBorder="1"/>
    <xf numFmtId="44" fontId="1" fillId="3" borderId="35" xfId="16" applyFont="1" applyFill="1" applyBorder="1"/>
    <xf numFmtId="44" fontId="1" fillId="3" borderId="8" xfId="16" applyFont="1" applyFill="1" applyBorder="1"/>
    <xf numFmtId="44" fontId="47" fillId="3" borderId="13" xfId="16" applyFont="1" applyFill="1" applyBorder="1"/>
    <xf numFmtId="3" fontId="0" fillId="3" borderId="0" xfId="0" applyNumberFormat="1" applyFont="1" applyFill="1"/>
    <xf numFmtId="9" fontId="0" fillId="3" borderId="0" xfId="15" applyFont="1" applyFill="1" applyAlignment="1">
      <alignment horizontal="center"/>
    </xf>
    <xf numFmtId="0" fontId="39" fillId="3" borderId="27" xfId="0" applyFont="1" applyFill="1" applyBorder="1" applyAlignment="1">
      <alignment horizontal="center" vertical="center"/>
    </xf>
    <xf numFmtId="10" fontId="38" fillId="3" borderId="1" xfId="15" applyNumberFormat="1" applyFont="1" applyFill="1" applyBorder="1" applyAlignment="1">
      <alignment horizontal="center"/>
    </xf>
    <xf numFmtId="10" fontId="38" fillId="4" borderId="1" xfId="15" applyNumberFormat="1" applyFont="1" applyFill="1" applyBorder="1" applyAlignment="1">
      <alignment horizontal="center" vertical="center" wrapText="1"/>
    </xf>
    <xf numFmtId="0" fontId="0" fillId="3" borderId="0" xfId="0" applyFill="1" applyAlignment="1">
      <alignment vertical="center" wrapText="1"/>
    </xf>
    <xf numFmtId="0" fontId="0" fillId="3" borderId="0" xfId="0" applyFill="1" applyAlignment="1">
      <alignment horizontal="center" vertical="center" wrapText="1"/>
    </xf>
    <xf numFmtId="0" fontId="0" fillId="3" borderId="5" xfId="0" applyFill="1" applyBorder="1" applyAlignment="1">
      <alignment horizontal="center"/>
    </xf>
    <xf numFmtId="9" fontId="0" fillId="3" borderId="0" xfId="0" applyNumberFormat="1" applyFill="1"/>
    <xf numFmtId="0" fontId="5" fillId="3" borderId="23" xfId="0" applyFont="1" applyFill="1" applyBorder="1" applyAlignment="1">
      <alignment horizontal="center" vertical="center" wrapText="1"/>
    </xf>
    <xf numFmtId="175" fontId="21" fillId="3" borderId="23" xfId="15" applyNumberFormat="1" applyFont="1" applyFill="1" applyBorder="1" applyAlignment="1">
      <alignment horizontal="center" vertical="center" wrapText="1"/>
    </xf>
    <xf numFmtId="175" fontId="21" fillId="3" borderId="23" xfId="0" applyNumberFormat="1" applyFont="1" applyFill="1" applyBorder="1" applyAlignment="1">
      <alignment horizontal="center" vertical="center" wrapText="1"/>
    </xf>
    <xf numFmtId="175" fontId="6" fillId="3" borderId="23" xfId="15" applyNumberFormat="1" applyFont="1" applyFill="1" applyBorder="1" applyAlignment="1">
      <alignment horizontal="center" vertical="center" wrapText="1"/>
    </xf>
    <xf numFmtId="175" fontId="6" fillId="3" borderId="18" xfId="15" applyNumberFormat="1" applyFont="1" applyFill="1" applyBorder="1" applyAlignment="1">
      <alignment horizontal="center" vertical="center" wrapText="1"/>
    </xf>
    <xf numFmtId="169" fontId="21" fillId="3" borderId="1" xfId="16" applyNumberFormat="1" applyFont="1" applyFill="1" applyBorder="1" applyAlignment="1">
      <alignment horizontal="center" vertical="center"/>
    </xf>
    <xf numFmtId="169" fontId="21" fillId="3" borderId="21" xfId="16" applyNumberFormat="1" applyFont="1" applyFill="1" applyBorder="1" applyAlignment="1">
      <alignment horizontal="center" vertical="center"/>
    </xf>
    <xf numFmtId="0" fontId="5" fillId="3" borderId="25" xfId="0" applyFont="1" applyFill="1" applyBorder="1" applyAlignment="1">
      <alignment/>
    </xf>
    <xf numFmtId="0" fontId="5" fillId="3" borderId="22" xfId="0" applyFont="1" applyFill="1" applyBorder="1" applyAlignment="1">
      <alignment horizontal="center" vertical="center"/>
    </xf>
    <xf numFmtId="0" fontId="21" fillId="3" borderId="22" xfId="0" applyFont="1" applyFill="1" applyBorder="1" applyAlignment="1">
      <alignment horizontal="center" vertical="center"/>
    </xf>
    <xf numFmtId="0" fontId="21" fillId="3" borderId="23" xfId="0" applyFont="1" applyFill="1" applyBorder="1" applyAlignment="1">
      <alignment horizontal="center" vertical="center"/>
    </xf>
    <xf numFmtId="0" fontId="21" fillId="3" borderId="25" xfId="0" applyFont="1" applyFill="1" applyBorder="1"/>
    <xf numFmtId="169" fontId="21" fillId="3" borderId="22" xfId="16" applyNumberFormat="1" applyFont="1" applyFill="1" applyBorder="1" applyAlignment="1">
      <alignment horizontal="center" vertical="center"/>
    </xf>
    <xf numFmtId="169" fontId="21" fillId="3" borderId="23" xfId="16" applyNumberFormat="1" applyFont="1" applyFill="1" applyBorder="1" applyAlignment="1">
      <alignment horizontal="center" vertical="center"/>
    </xf>
    <xf numFmtId="169" fontId="21" fillId="3" borderId="18" xfId="16" applyNumberFormat="1" applyFont="1" applyFill="1" applyBorder="1" applyAlignment="1">
      <alignment horizontal="center" vertical="center"/>
    </xf>
    <xf numFmtId="168" fontId="0" fillId="3" borderId="23" xfId="0" applyNumberFormat="1" applyFont="1" applyFill="1" applyBorder="1" applyAlignment="1" quotePrefix="1">
      <alignment horizontal="left" wrapText="1"/>
    </xf>
    <xf numFmtId="168" fontId="20" fillId="3" borderId="23" xfId="0" applyNumberFormat="1" applyFont="1" applyFill="1" applyBorder="1" applyAlignment="1" quotePrefix="1">
      <alignment horizontal="left" wrapText="1"/>
    </xf>
    <xf numFmtId="168" fontId="0" fillId="3" borderId="0" xfId="18" applyNumberFormat="1" applyFont="1" applyFill="1" applyBorder="1" applyAlignment="1">
      <alignment vertical="center"/>
    </xf>
    <xf numFmtId="168" fontId="20" fillId="3" borderId="0" xfId="18" applyNumberFormat="1" applyFont="1" applyFill="1" applyAlignment="1">
      <alignment vertical="center"/>
    </xf>
    <xf numFmtId="0" fontId="7" fillId="3" borderId="27" xfId="0" applyFont="1" applyFill="1" applyBorder="1" applyAlignment="1">
      <alignment horizontal="center" vertical="center"/>
    </xf>
    <xf numFmtId="0" fontId="7" fillId="3" borderId="44"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0" fillId="3" borderId="65" xfId="0" applyFont="1" applyFill="1" applyBorder="1" applyAlignment="1">
      <alignment vertical="center"/>
    </xf>
    <xf numFmtId="169" fontId="0" fillId="3" borderId="20" xfId="0" applyNumberFormat="1" applyFont="1" applyFill="1" applyBorder="1" applyAlignment="1">
      <alignment horizontal="center" vertical="center"/>
    </xf>
    <xf numFmtId="169" fontId="0" fillId="3" borderId="21" xfId="0" applyNumberFormat="1" applyFont="1" applyFill="1" applyBorder="1" applyAlignment="1">
      <alignment horizontal="center" vertical="center"/>
    </xf>
    <xf numFmtId="0" fontId="38" fillId="3" borderId="0" xfId="0" applyFont="1" applyFill="1" applyBorder="1" applyAlignment="1">
      <alignment horizontal="center" vertical="center"/>
    </xf>
    <xf numFmtId="169" fontId="7" fillId="3" borderId="0" xfId="16" applyNumberFormat="1" applyFont="1" applyFill="1" applyBorder="1" applyAlignment="1">
      <alignment horizontal="center" vertical="center" wrapText="1"/>
    </xf>
    <xf numFmtId="168" fontId="0" fillId="3" borderId="1" xfId="18" applyNumberFormat="1" applyFont="1" applyFill="1" applyBorder="1" applyAlignment="1">
      <alignment horizontal="center"/>
    </xf>
    <xf numFmtId="168" fontId="0" fillId="3" borderId="0" xfId="18" applyNumberFormat="1" applyFont="1" applyFill="1" applyAlignment="1">
      <alignment horizontal="center"/>
    </xf>
    <xf numFmtId="168" fontId="20" fillId="3" borderId="0" xfId="18" applyNumberFormat="1" applyFont="1" applyFill="1" applyAlignment="1">
      <alignment horizontal="center"/>
    </xf>
    <xf numFmtId="168" fontId="20" fillId="3" borderId="1" xfId="18" applyNumberFormat="1" applyFont="1" applyFill="1" applyBorder="1" applyAlignment="1">
      <alignment horizontal="center"/>
    </xf>
    <xf numFmtId="168" fontId="0" fillId="3" borderId="20" xfId="18" applyNumberFormat="1" applyFont="1" applyFill="1" applyBorder="1" applyAlignment="1">
      <alignment horizontal="center"/>
    </xf>
    <xf numFmtId="168" fontId="0" fillId="3" borderId="21" xfId="18" applyNumberFormat="1" applyFont="1" applyFill="1" applyBorder="1" applyAlignment="1">
      <alignment horizontal="center"/>
    </xf>
    <xf numFmtId="168" fontId="20" fillId="3" borderId="0" xfId="18" applyNumberFormat="1" applyFont="1" applyFill="1"/>
    <xf numFmtId="168" fontId="20" fillId="3" borderId="1" xfId="18" applyNumberFormat="1" applyFont="1" applyFill="1" applyBorder="1"/>
    <xf numFmtId="168" fontId="20" fillId="3" borderId="20" xfId="18" applyNumberFormat="1" applyFont="1" applyFill="1" applyBorder="1" applyAlignment="1">
      <alignment horizontal="center"/>
    </xf>
    <xf numFmtId="168" fontId="20" fillId="3" borderId="21" xfId="18" applyNumberFormat="1" applyFont="1" applyFill="1" applyBorder="1" applyAlignment="1">
      <alignment horizontal="center"/>
    </xf>
    <xf numFmtId="168" fontId="0" fillId="3" borderId="23" xfId="18" applyNumberFormat="1" applyFont="1" applyFill="1" applyBorder="1" applyAlignment="1">
      <alignment horizontal="left"/>
    </xf>
    <xf numFmtId="168" fontId="0" fillId="3" borderId="18" xfId="18" applyNumberFormat="1" applyFont="1" applyFill="1" applyBorder="1" applyAlignment="1">
      <alignment horizontal="left"/>
    </xf>
    <xf numFmtId="0" fontId="7" fillId="3" borderId="26" xfId="0" applyFont="1" applyFill="1" applyBorder="1" applyAlignment="1">
      <alignment horizontal="center" vertical="center"/>
    </xf>
    <xf numFmtId="168" fontId="20" fillId="3" borderId="0" xfId="18" applyNumberFormat="1" applyFont="1" applyFill="1" applyBorder="1" applyAlignment="1">
      <alignment horizontal="center"/>
    </xf>
    <xf numFmtId="168" fontId="0" fillId="3" borderId="44" xfId="18" applyNumberFormat="1" applyFont="1" applyFill="1" applyBorder="1" applyAlignment="1">
      <alignment horizontal="center"/>
    </xf>
    <xf numFmtId="168" fontId="20" fillId="3" borderId="26" xfId="18" applyNumberFormat="1" applyFont="1" applyFill="1" applyBorder="1" applyAlignment="1">
      <alignment horizontal="center"/>
    </xf>
    <xf numFmtId="168" fontId="20" fillId="3" borderId="27" xfId="18" applyNumberFormat="1" applyFont="1" applyFill="1" applyBorder="1" applyAlignment="1">
      <alignment horizontal="center"/>
    </xf>
    <xf numFmtId="1" fontId="29" fillId="3" borderId="0" xfId="0" applyNumberFormat="1" applyFont="1" applyFill="1" applyBorder="1" applyAlignment="1">
      <alignment horizontal="center" vertical="center" wrapText="1"/>
    </xf>
    <xf numFmtId="0" fontId="7" fillId="3" borderId="0" xfId="0" applyFont="1" applyFill="1" applyAlignment="1">
      <alignment horizontal="center" vertical="center"/>
    </xf>
    <xf numFmtId="44" fontId="0" fillId="3" borderId="0" xfId="16" applyNumberFormat="1" applyFont="1" applyFill="1"/>
    <xf numFmtId="0" fontId="20" fillId="3" borderId="0" xfId="0" applyFont="1" applyFill="1"/>
    <xf numFmtId="168" fontId="21" fillId="3" borderId="0" xfId="18" applyNumberFormat="1" applyFont="1" applyFill="1" applyAlignment="1">
      <alignment vertical="center"/>
    </xf>
    <xf numFmtId="0" fontId="6" fillId="3" borderId="13" xfId="0" applyFont="1" applyFill="1" applyBorder="1" applyAlignment="1">
      <alignment horizontal="left" vertical="center" wrapText="1"/>
    </xf>
    <xf numFmtId="0" fontId="21" fillId="3" borderId="0" xfId="0" applyFont="1" applyFill="1" applyAlignment="1">
      <alignment vertical="center"/>
    </xf>
    <xf numFmtId="0" fontId="6" fillId="3" borderId="19" xfId="0" applyFont="1" applyFill="1" applyBorder="1" applyAlignment="1">
      <alignment vertical="center" wrapText="1"/>
    </xf>
    <xf numFmtId="0" fontId="6" fillId="3" borderId="0" xfId="0" applyFont="1" applyFill="1" applyAlignment="1">
      <alignment horizontal="left" vertical="center"/>
    </xf>
    <xf numFmtId="0" fontId="60" fillId="3" borderId="25" xfId="0" applyFont="1" applyFill="1" applyBorder="1" applyAlignment="1">
      <alignment horizontal="center"/>
    </xf>
    <xf numFmtId="0" fontId="55" fillId="3" borderId="0" xfId="0" applyFont="1" applyFill="1"/>
    <xf numFmtId="0" fontId="55" fillId="3" borderId="22" xfId="0" applyFont="1" applyFill="1" applyBorder="1" applyAlignment="1">
      <alignment horizontal="center" vertical="center"/>
    </xf>
    <xf numFmtId="10" fontId="66" fillId="3" borderId="23" xfId="0" applyNumberFormat="1" applyFont="1" applyFill="1" applyBorder="1" applyAlignment="1">
      <alignment horizontal="center" vertical="center"/>
    </xf>
    <xf numFmtId="0" fontId="67" fillId="3" borderId="0" xfId="0" applyFont="1" applyFill="1"/>
    <xf numFmtId="167" fontId="66" fillId="3" borderId="23" xfId="15" applyNumberFormat="1" applyFont="1" applyFill="1" applyBorder="1" applyAlignment="1">
      <alignment horizontal="center" vertical="center"/>
    </xf>
    <xf numFmtId="0" fontId="39" fillId="3" borderId="25" xfId="0" applyFont="1" applyFill="1" applyBorder="1" applyAlignment="1">
      <alignment horizontal="center" vertical="center"/>
    </xf>
    <xf numFmtId="169" fontId="21" fillId="3" borderId="23" xfId="16" applyNumberFormat="1" applyFont="1" applyFill="1" applyBorder="1" applyAlignment="1">
      <alignment horizontal="right" vertical="center" wrapText="1"/>
    </xf>
    <xf numFmtId="9" fontId="21" fillId="3" borderId="0" xfId="15" applyFont="1" applyFill="1"/>
    <xf numFmtId="0" fontId="55" fillId="3" borderId="23" xfId="0" applyFont="1" applyFill="1" applyBorder="1"/>
    <xf numFmtId="0" fontId="55" fillId="3" borderId="18" xfId="0" applyFont="1" applyFill="1" applyBorder="1"/>
    <xf numFmtId="10" fontId="55" fillId="3" borderId="23" xfId="0" applyNumberFormat="1" applyFont="1" applyFill="1" applyBorder="1"/>
    <xf numFmtId="44" fontId="5" fillId="3" borderId="0" xfId="16" applyFont="1" applyFill="1" applyAlignment="1">
      <alignment horizontal="center" vertical="center"/>
    </xf>
    <xf numFmtId="44" fontId="56" fillId="3" borderId="0" xfId="0" applyNumberFormat="1" applyFont="1" applyFill="1" applyAlignment="1">
      <alignment horizontal="center" vertical="center"/>
    </xf>
    <xf numFmtId="166" fontId="6" fillId="3" borderId="0" xfId="0" applyNumberFormat="1" applyFont="1" applyFill="1" applyAlignment="1">
      <alignment horizontal="center" vertical="center"/>
    </xf>
    <xf numFmtId="0" fontId="24" fillId="3" borderId="0" xfId="0" applyFont="1" applyFill="1" applyAlignment="1">
      <alignment vertical="center"/>
    </xf>
    <xf numFmtId="0" fontId="24" fillId="3" borderId="0" xfId="0" applyFont="1" applyFill="1" applyAlignment="1">
      <alignment vertical="center" wrapText="1"/>
    </xf>
    <xf numFmtId="0" fontId="24" fillId="3" borderId="0" xfId="0" applyFont="1" applyFill="1" applyAlignment="1">
      <alignment horizontal="center" vertical="center" wrapText="1"/>
    </xf>
    <xf numFmtId="176" fontId="24" fillId="3" borderId="0" xfId="0" applyNumberFormat="1" applyFont="1" applyFill="1" applyAlignment="1">
      <alignment vertical="center"/>
    </xf>
    <xf numFmtId="0" fontId="26" fillId="3" borderId="15" xfId="0" applyFont="1" applyFill="1" applyBorder="1" applyAlignment="1">
      <alignment vertical="center" wrapText="1"/>
    </xf>
    <xf numFmtId="0" fontId="26" fillId="3" borderId="16" xfId="0" applyFont="1" applyFill="1" applyBorder="1" applyAlignment="1">
      <alignment horizontal="center" vertical="center" wrapText="1"/>
    </xf>
    <xf numFmtId="0" fontId="26" fillId="3" borderId="19" xfId="0" applyFont="1" applyFill="1" applyBorder="1" applyAlignment="1">
      <alignment vertical="center" wrapText="1"/>
    </xf>
    <xf numFmtId="0" fontId="26" fillId="3" borderId="20" xfId="0" applyFont="1" applyFill="1" applyBorder="1" applyAlignment="1">
      <alignment horizontal="center" vertical="center" wrapText="1"/>
    </xf>
    <xf numFmtId="0" fontId="26" fillId="0" borderId="44" xfId="0" applyFont="1" applyBorder="1" applyAlignment="1">
      <alignment horizontal="center" vertical="center" wrapText="1"/>
    </xf>
    <xf numFmtId="0" fontId="26" fillId="0" borderId="15" xfId="0" applyFont="1" applyBorder="1" applyAlignment="1">
      <alignment horizontal="center" vertical="center" wrapText="1"/>
    </xf>
    <xf numFmtId="0" fontId="26" fillId="3" borderId="13" xfId="0" applyFont="1" applyFill="1" applyBorder="1" applyAlignment="1">
      <alignment horizontal="center" vertical="center"/>
    </xf>
    <xf numFmtId="0" fontId="26" fillId="3" borderId="0" xfId="0" applyFont="1" applyFill="1" applyAlignment="1">
      <alignment horizontal="center" vertical="center"/>
    </xf>
    <xf numFmtId="0" fontId="26" fillId="3" borderId="8"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1" xfId="0" applyFont="1" applyFill="1" applyBorder="1" applyAlignment="1">
      <alignment horizontal="center" vertical="center"/>
    </xf>
    <xf numFmtId="168" fontId="0" fillId="3" borderId="0" xfId="18" applyNumberFormat="1" applyFont="1" applyFill="1" applyAlignment="1">
      <alignment vertical="center"/>
    </xf>
    <xf numFmtId="168" fontId="10" fillId="14" borderId="22" xfId="18" applyNumberFormat="1" applyFont="1" applyFill="1" applyBorder="1" applyAlignment="1">
      <alignment vertical="center" wrapText="1"/>
    </xf>
    <xf numFmtId="168" fontId="10" fillId="14" borderId="15" xfId="18" applyNumberFormat="1" applyFont="1" applyFill="1" applyBorder="1" applyAlignment="1">
      <alignment horizontal="center" vertical="center" wrapText="1"/>
    </xf>
    <xf numFmtId="168" fontId="0" fillId="14" borderId="0" xfId="18" applyNumberFormat="1" applyFont="1" applyFill="1" applyAlignment="1">
      <alignment vertical="center"/>
    </xf>
    <xf numFmtId="169" fontId="10" fillId="14" borderId="15" xfId="16" applyNumberFormat="1" applyFont="1" applyFill="1" applyBorder="1" applyAlignment="1">
      <alignment horizontal="center" vertical="center" wrapText="1"/>
    </xf>
    <xf numFmtId="169" fontId="7" fillId="14" borderId="66" xfId="16" applyNumberFormat="1" applyFont="1" applyFill="1" applyBorder="1" applyAlignment="1">
      <alignment vertical="center"/>
    </xf>
    <xf numFmtId="169" fontId="7" fillId="14" borderId="16" xfId="16" applyNumberFormat="1" applyFont="1" applyFill="1" applyBorder="1" applyAlignment="1">
      <alignment vertical="center"/>
    </xf>
    <xf numFmtId="169" fontId="7" fillId="14" borderId="31" xfId="16" applyNumberFormat="1" applyFont="1" applyFill="1" applyBorder="1" applyAlignment="1">
      <alignment vertical="center"/>
    </xf>
    <xf numFmtId="169" fontId="7" fillId="14" borderId="17" xfId="16" applyNumberFormat="1" applyFont="1" applyFill="1" applyBorder="1" applyAlignment="1">
      <alignment vertical="center"/>
    </xf>
    <xf numFmtId="169" fontId="7" fillId="14" borderId="15" xfId="16" applyNumberFormat="1" applyFont="1" applyFill="1" applyBorder="1" applyAlignment="1">
      <alignment vertical="center"/>
    </xf>
    <xf numFmtId="169" fontId="7" fillId="14" borderId="27" xfId="16" applyNumberFormat="1" applyFont="1" applyFill="1" applyBorder="1" applyAlignment="1">
      <alignment vertical="center"/>
    </xf>
    <xf numFmtId="169" fontId="7" fillId="14" borderId="44" xfId="16" applyNumberFormat="1" applyFont="1" applyFill="1" applyBorder="1" applyAlignment="1">
      <alignment vertical="center"/>
    </xf>
    <xf numFmtId="169" fontId="7" fillId="14" borderId="26" xfId="16" applyNumberFormat="1" applyFont="1" applyFill="1" applyBorder="1" applyAlignment="1">
      <alignment vertical="center"/>
    </xf>
    <xf numFmtId="169" fontId="7" fillId="14" borderId="67" xfId="16" applyNumberFormat="1" applyFont="1" applyFill="1" applyBorder="1" applyAlignment="1">
      <alignment vertical="center"/>
    </xf>
    <xf numFmtId="169" fontId="7" fillId="14" borderId="68" xfId="16" applyNumberFormat="1" applyFont="1" applyFill="1" applyBorder="1" applyAlignment="1">
      <alignment vertical="center"/>
    </xf>
    <xf numFmtId="169" fontId="10" fillId="3" borderId="44" xfId="16" applyNumberFormat="1" applyFont="1" applyFill="1" applyBorder="1" applyAlignment="1">
      <alignment horizontal="center" vertical="center" wrapText="1"/>
    </xf>
    <xf numFmtId="169" fontId="7" fillId="3" borderId="44" xfId="16" applyNumberFormat="1" applyFont="1" applyFill="1" applyBorder="1" applyAlignment="1">
      <alignment vertical="center"/>
    </xf>
    <xf numFmtId="169" fontId="7" fillId="3" borderId="26" xfId="16" applyNumberFormat="1" applyFont="1" applyFill="1" applyBorder="1" applyAlignment="1">
      <alignment vertical="center"/>
    </xf>
    <xf numFmtId="169" fontId="7" fillId="3" borderId="67" xfId="16" applyNumberFormat="1" applyFont="1" applyFill="1" applyBorder="1" applyAlignment="1">
      <alignment vertical="center"/>
    </xf>
    <xf numFmtId="169" fontId="7" fillId="3" borderId="68" xfId="16" applyNumberFormat="1" applyFont="1" applyFill="1" applyBorder="1" applyAlignment="1">
      <alignment vertical="center"/>
    </xf>
    <xf numFmtId="169" fontId="7" fillId="3" borderId="27" xfId="16" applyNumberFormat="1" applyFont="1" applyFill="1" applyBorder="1" applyAlignment="1">
      <alignment vertical="center"/>
    </xf>
    <xf numFmtId="168" fontId="23" fillId="3" borderId="0" xfId="18" applyNumberFormat="1" applyFont="1" applyFill="1" applyAlignment="1">
      <alignment vertical="center"/>
    </xf>
    <xf numFmtId="9" fontId="23" fillId="3" borderId="0" xfId="15" applyFont="1" applyFill="1" applyAlignment="1">
      <alignment vertical="center"/>
    </xf>
    <xf numFmtId="0" fontId="7" fillId="3" borderId="0" xfId="0" applyFont="1" applyFill="1" applyAlignment="1">
      <alignment horizontal="center" vertical="center" wrapText="1"/>
    </xf>
    <xf numFmtId="169" fontId="10" fillId="3" borderId="0" xfId="16" applyNumberFormat="1" applyFont="1" applyFill="1" applyAlignment="1">
      <alignment horizontal="center" vertical="center" wrapText="1"/>
    </xf>
    <xf numFmtId="169" fontId="7" fillId="3" borderId="0" xfId="16" applyNumberFormat="1" applyFont="1" applyFill="1" applyAlignment="1">
      <alignment vertical="center"/>
    </xf>
    <xf numFmtId="0" fontId="7" fillId="3" borderId="20" xfId="0" applyFont="1" applyFill="1" applyBorder="1" applyAlignment="1">
      <alignment horizontal="center" vertical="center" wrapText="1"/>
    </xf>
    <xf numFmtId="169" fontId="10" fillId="3" borderId="20" xfId="16" applyNumberFormat="1" applyFont="1" applyFill="1" applyBorder="1" applyAlignment="1">
      <alignment horizontal="center" vertical="center" wrapText="1"/>
    </xf>
    <xf numFmtId="169" fontId="7" fillId="3" borderId="20" xfId="16" applyNumberFormat="1" applyFont="1" applyFill="1" applyBorder="1" applyAlignment="1">
      <alignment vertical="center"/>
    </xf>
    <xf numFmtId="169" fontId="10" fillId="14" borderId="19" xfId="16" applyNumberFormat="1" applyFont="1" applyFill="1" applyBorder="1" applyAlignment="1">
      <alignment horizontal="center" vertical="center" wrapText="1"/>
    </xf>
    <xf numFmtId="169" fontId="7" fillId="14" borderId="19" xfId="16" applyNumberFormat="1" applyFont="1" applyFill="1" applyBorder="1" applyAlignment="1">
      <alignment vertical="center"/>
    </xf>
    <xf numFmtId="169" fontId="7" fillId="14" borderId="20" xfId="16" applyNumberFormat="1" applyFont="1" applyFill="1" applyBorder="1" applyAlignment="1">
      <alignment vertical="center"/>
    </xf>
    <xf numFmtId="169" fontId="7" fillId="14" borderId="69" xfId="16" applyNumberFormat="1" applyFont="1" applyFill="1" applyBorder="1" applyAlignment="1">
      <alignment vertical="center"/>
    </xf>
    <xf numFmtId="169" fontId="7" fillId="14" borderId="70" xfId="16" applyNumberFormat="1" applyFont="1" applyFill="1" applyBorder="1" applyAlignment="1">
      <alignment vertical="center"/>
    </xf>
    <xf numFmtId="169" fontId="7" fillId="14" borderId="21" xfId="16" applyNumberFormat="1" applyFont="1" applyFill="1" applyBorder="1" applyAlignment="1">
      <alignment vertical="center"/>
    </xf>
    <xf numFmtId="1" fontId="7" fillId="3" borderId="0" xfId="0" applyNumberFormat="1" applyFont="1" applyFill="1" applyAlignment="1">
      <alignment horizontal="center" vertical="center"/>
    </xf>
    <xf numFmtId="0" fontId="26" fillId="3" borderId="0" xfId="0" applyFont="1" applyFill="1" applyAlignment="1">
      <alignment horizontal="center" vertical="center" wrapText="1"/>
    </xf>
    <xf numFmtId="168" fontId="10" fillId="3" borderId="0" xfId="18" applyNumberFormat="1" applyFont="1" applyFill="1" applyAlignment="1">
      <alignment vertical="center" wrapText="1"/>
    </xf>
    <xf numFmtId="168" fontId="10" fillId="3" borderId="0" xfId="18" applyNumberFormat="1" applyFont="1" applyFill="1" applyAlignment="1">
      <alignment horizontal="center" vertical="center" wrapText="1"/>
    </xf>
    <xf numFmtId="168" fontId="7" fillId="3" borderId="0" xfId="18" applyNumberFormat="1" applyFont="1" applyFill="1" applyAlignment="1">
      <alignment vertical="center"/>
    </xf>
    <xf numFmtId="169" fontId="10" fillId="3" borderId="0" xfId="16" applyNumberFormat="1" applyFont="1" applyFill="1" applyAlignment="1">
      <alignment vertical="center" wrapText="1"/>
    </xf>
    <xf numFmtId="0" fontId="29" fillId="3" borderId="0" xfId="0" applyFont="1" applyFill="1" applyAlignment="1">
      <alignment vertical="center"/>
    </xf>
    <xf numFmtId="9" fontId="24" fillId="3" borderId="0" xfId="15" applyFont="1" applyFill="1" applyAlignment="1">
      <alignment vertical="center"/>
    </xf>
    <xf numFmtId="9" fontId="24" fillId="3" borderId="0" xfId="0" applyNumberFormat="1" applyFont="1" applyFill="1" applyAlignment="1">
      <alignment vertical="center"/>
    </xf>
    <xf numFmtId="44" fontId="20" fillId="3" borderId="0" xfId="16" applyFont="1" applyFill="1"/>
    <xf numFmtId="0" fontId="8" fillId="4" borderId="18" xfId="0" applyFont="1" applyFill="1" applyBorder="1"/>
    <xf numFmtId="44" fontId="20" fillId="3" borderId="20" xfId="0" applyNumberFormat="1" applyFont="1" applyFill="1" applyBorder="1"/>
    <xf numFmtId="169" fontId="26" fillId="6" borderId="22" xfId="16" applyNumberFormat="1" applyFont="1" applyFill="1" applyBorder="1"/>
    <xf numFmtId="0" fontId="8" fillId="4" borderId="23" xfId="0" applyFont="1" applyFill="1" applyBorder="1" applyAlignment="1">
      <alignment horizontal="left"/>
    </xf>
    <xf numFmtId="164" fontId="20" fillId="3" borderId="0" xfId="18" applyFont="1" applyFill="1" applyBorder="1"/>
    <xf numFmtId="44" fontId="20" fillId="3" borderId="20" xfId="16" applyFont="1" applyFill="1" applyBorder="1"/>
    <xf numFmtId="44" fontId="26" fillId="6" borderId="15" xfId="16" applyFont="1" applyFill="1" applyBorder="1"/>
    <xf numFmtId="0" fontId="7" fillId="3" borderId="13" xfId="0" applyFont="1" applyFill="1" applyBorder="1"/>
    <xf numFmtId="0" fontId="26" fillId="4" borderId="19" xfId="0" applyFont="1" applyFill="1" applyBorder="1"/>
    <xf numFmtId="44" fontId="20" fillId="3" borderId="23" xfId="16" applyFont="1" applyFill="1" applyBorder="1" applyAlignment="1">
      <alignment horizontal="center"/>
    </xf>
    <xf numFmtId="0" fontId="26" fillId="4" borderId="18" xfId="0" applyFont="1" applyFill="1" applyBorder="1" applyAlignment="1">
      <alignment horizontal="center"/>
    </xf>
    <xf numFmtId="169" fontId="7" fillId="3" borderId="0" xfId="16" applyNumberFormat="1" applyFont="1" applyFill="1" applyBorder="1" applyAlignment="1">
      <alignment vertical="center"/>
    </xf>
    <xf numFmtId="44" fontId="68" fillId="3" borderId="35" xfId="16" applyFont="1" applyFill="1" applyBorder="1"/>
    <xf numFmtId="1" fontId="45" fillId="9" borderId="48" xfId="16" applyNumberFormat="1" applyFont="1" applyFill="1" applyBorder="1" applyAlignment="1">
      <alignment/>
    </xf>
    <xf numFmtId="44" fontId="43" fillId="3" borderId="53" xfId="16" applyFont="1" applyFill="1" applyBorder="1"/>
    <xf numFmtId="44" fontId="43" fillId="3" borderId="55" xfId="16" applyFont="1" applyFill="1" applyBorder="1" applyAlignment="1">
      <alignment horizontal="right"/>
    </xf>
    <xf numFmtId="44" fontId="43" fillId="3" borderId="71" xfId="16" applyFont="1" applyFill="1" applyBorder="1" applyAlignment="1">
      <alignment horizontal="right"/>
    </xf>
    <xf numFmtId="44" fontId="69" fillId="3" borderId="35" xfId="16" applyFont="1" applyFill="1" applyBorder="1" applyAlignment="1">
      <alignment horizontal="right"/>
    </xf>
    <xf numFmtId="44" fontId="1" fillId="3" borderId="8" xfId="16" applyFont="1" applyFill="1" applyBorder="1" applyAlignment="1">
      <alignment horizontal="right"/>
    </xf>
    <xf numFmtId="44" fontId="1" fillId="3" borderId="3" xfId="16" applyFont="1" applyFill="1" applyBorder="1" applyAlignment="1">
      <alignment horizontal="right"/>
    </xf>
    <xf numFmtId="44" fontId="68" fillId="3" borderId="35" xfId="16" applyFont="1" applyFill="1" applyBorder="1" applyAlignment="1">
      <alignment horizontal="right"/>
    </xf>
    <xf numFmtId="44" fontId="68" fillId="3" borderId="0" xfId="16" applyFont="1" applyFill="1" applyBorder="1" applyAlignment="1">
      <alignment horizontal="right"/>
    </xf>
    <xf numFmtId="168" fontId="0" fillId="3" borderId="1" xfId="18" applyNumberFormat="1" applyFont="1" applyFill="1" applyBorder="1" applyAlignment="1">
      <alignment vertical="center"/>
    </xf>
    <xf numFmtId="168" fontId="23" fillId="3" borderId="1" xfId="18" applyNumberFormat="1" applyFont="1" applyFill="1" applyBorder="1" applyAlignment="1">
      <alignment vertical="center"/>
    </xf>
    <xf numFmtId="44" fontId="69" fillId="3" borderId="40" xfId="16" applyFont="1" applyFill="1" applyBorder="1" applyAlignment="1">
      <alignment horizontal="right"/>
    </xf>
    <xf numFmtId="0" fontId="5" fillId="3" borderId="23" xfId="0" applyFont="1" applyFill="1" applyBorder="1" applyAlignment="1">
      <alignment vertical="center" textRotation="90"/>
    </xf>
    <xf numFmtId="0" fontId="5" fillId="3" borderId="1" xfId="0" applyFont="1" applyFill="1" applyBorder="1" applyAlignment="1">
      <alignment vertical="center" textRotation="90"/>
    </xf>
    <xf numFmtId="0" fontId="5" fillId="3" borderId="13" xfId="0" applyFont="1" applyFill="1" applyBorder="1" applyAlignment="1">
      <alignment vertical="center" textRotation="90"/>
    </xf>
    <xf numFmtId="1" fontId="6" fillId="3" borderId="23" xfId="18" applyNumberFormat="1" applyFont="1" applyFill="1" applyBorder="1" applyAlignment="1">
      <alignment horizontal="center" vertical="center" wrapText="1"/>
    </xf>
    <xf numFmtId="1" fontId="21" fillId="3" borderId="23" xfId="18" applyNumberFormat="1" applyFont="1" applyFill="1" applyBorder="1" applyAlignment="1">
      <alignment horizontal="center" vertical="center" wrapText="1"/>
    </xf>
    <xf numFmtId="1" fontId="21" fillId="3" borderId="0" xfId="18" applyNumberFormat="1" applyFont="1" applyFill="1" applyBorder="1" applyAlignment="1">
      <alignment horizontal="center" vertical="center" wrapText="1"/>
    </xf>
    <xf numFmtId="167" fontId="66" fillId="3" borderId="18" xfId="15" applyNumberFormat="1" applyFont="1" applyFill="1" applyBorder="1" applyAlignment="1">
      <alignment horizontal="center" vertical="center"/>
    </xf>
    <xf numFmtId="175" fontId="21" fillId="3" borderId="23" xfId="16" applyNumberFormat="1" applyFont="1" applyFill="1" applyBorder="1" applyAlignment="1">
      <alignment horizontal="center" vertical="center" wrapText="1"/>
    </xf>
    <xf numFmtId="169" fontId="10" fillId="14" borderId="15" xfId="16" applyNumberFormat="1" applyFont="1" applyFill="1" applyBorder="1" applyAlignment="1">
      <alignment vertical="center" wrapText="1"/>
    </xf>
    <xf numFmtId="168" fontId="29" fillId="15" borderId="0" xfId="18" applyNumberFormat="1" applyFont="1" applyFill="1" applyBorder="1" applyAlignment="1">
      <alignment vertical="center"/>
    </xf>
    <xf numFmtId="169" fontId="7" fillId="3" borderId="25" xfId="16" applyNumberFormat="1" applyFont="1" applyFill="1" applyBorder="1" applyAlignment="1">
      <alignment horizontal="center" vertical="center" wrapText="1"/>
    </xf>
    <xf numFmtId="0" fontId="71" fillId="3" borderId="20" xfId="0" applyFont="1" applyFill="1" applyBorder="1"/>
    <xf numFmtId="0" fontId="72" fillId="3" borderId="0" xfId="0" applyFont="1" applyFill="1"/>
    <xf numFmtId="0" fontId="71" fillId="3" borderId="16" xfId="0" applyFont="1" applyFill="1" applyBorder="1"/>
    <xf numFmtId="0" fontId="71" fillId="3" borderId="0" xfId="0" applyFont="1" applyFill="1" applyBorder="1"/>
    <xf numFmtId="0" fontId="71" fillId="3" borderId="0" xfId="0" applyFont="1" applyFill="1"/>
    <xf numFmtId="0" fontId="72" fillId="3" borderId="0" xfId="0" applyFont="1" applyFill="1" applyAlignment="1">
      <alignment horizontal="center" vertical="center" wrapText="1"/>
    </xf>
    <xf numFmtId="0" fontId="73" fillId="3" borderId="0" xfId="0" applyFont="1" applyFill="1"/>
    <xf numFmtId="0" fontId="74" fillId="3" borderId="0" xfId="0" applyFont="1" applyFill="1"/>
    <xf numFmtId="0" fontId="72" fillId="3" borderId="0" xfId="0" applyFont="1" applyFill="1" applyBorder="1"/>
    <xf numFmtId="0" fontId="71" fillId="3" borderId="0" xfId="0" applyFont="1" applyFill="1" applyBorder="1" applyAlignment="1">
      <alignment horizontal="left"/>
    </xf>
    <xf numFmtId="0" fontId="71" fillId="3" borderId="0" xfId="0" applyFont="1" applyFill="1" applyBorder="1" applyAlignment="1">
      <alignment horizontal="center"/>
    </xf>
    <xf numFmtId="0" fontId="75" fillId="3" borderId="0" xfId="0" applyFont="1" applyFill="1" applyAlignment="1">
      <alignment horizontal="center"/>
    </xf>
    <xf numFmtId="0" fontId="71" fillId="3" borderId="17" xfId="0" applyFont="1" applyFill="1" applyBorder="1" applyAlignment="1">
      <alignment horizontal="center" vertical="center"/>
    </xf>
    <xf numFmtId="0" fontId="71" fillId="3" borderId="0" xfId="0" applyFont="1" applyFill="1" applyAlignment="1">
      <alignment vertical="center"/>
    </xf>
    <xf numFmtId="175" fontId="71" fillId="3" borderId="22" xfId="18" applyNumberFormat="1" applyFont="1" applyFill="1" applyBorder="1" applyAlignment="1">
      <alignment horizontal="center" vertical="center"/>
    </xf>
    <xf numFmtId="0" fontId="71" fillId="3" borderId="72" xfId="0" applyFont="1" applyFill="1" applyBorder="1" applyAlignment="1">
      <alignment horizontal="center" vertical="center"/>
    </xf>
    <xf numFmtId="175" fontId="71" fillId="3" borderId="72" xfId="18" applyNumberFormat="1" applyFont="1" applyFill="1" applyBorder="1" applyAlignment="1">
      <alignment horizontal="center" vertical="center"/>
    </xf>
    <xf numFmtId="0" fontId="71" fillId="3" borderId="1" xfId="0" applyFont="1" applyFill="1" applyBorder="1" applyAlignment="1">
      <alignment horizontal="center" vertical="center"/>
    </xf>
    <xf numFmtId="175" fontId="71" fillId="3" borderId="23" xfId="18" applyNumberFormat="1" applyFont="1" applyFill="1" applyBorder="1" applyAlignment="1">
      <alignment horizontal="center" vertical="center"/>
    </xf>
    <xf numFmtId="0" fontId="46" fillId="7" borderId="21" xfId="0" applyFont="1" applyFill="1" applyBorder="1" applyAlignment="1">
      <alignment horizontal="center" vertical="center"/>
    </xf>
    <xf numFmtId="0" fontId="72" fillId="3" borderId="0" xfId="0" applyFont="1" applyFill="1" applyAlignment="1">
      <alignment vertical="center"/>
    </xf>
    <xf numFmtId="175" fontId="46" fillId="7" borderId="18" xfId="18" applyNumberFormat="1" applyFont="1" applyFill="1" applyBorder="1" applyAlignment="1">
      <alignment horizontal="center" vertical="center"/>
    </xf>
    <xf numFmtId="0" fontId="72" fillId="3" borderId="16" xfId="0" applyFont="1" applyFill="1" applyBorder="1"/>
    <xf numFmtId="9" fontId="71" fillId="3" borderId="22" xfId="18" applyNumberFormat="1" applyFont="1" applyFill="1" applyBorder="1" applyAlignment="1">
      <alignment horizontal="center" vertical="center"/>
    </xf>
    <xf numFmtId="9" fontId="71" fillId="3" borderId="72" xfId="18" applyNumberFormat="1" applyFont="1" applyFill="1" applyBorder="1" applyAlignment="1">
      <alignment horizontal="center" vertical="center"/>
    </xf>
    <xf numFmtId="9" fontId="71" fillId="3" borderId="23" xfId="18" applyNumberFormat="1" applyFont="1" applyFill="1" applyBorder="1" applyAlignment="1">
      <alignment horizontal="center" vertical="center"/>
    </xf>
    <xf numFmtId="9" fontId="46" fillId="7" borderId="18" xfId="18" applyNumberFormat="1" applyFont="1" applyFill="1" applyBorder="1" applyAlignment="1">
      <alignment horizontal="center" vertical="center"/>
    </xf>
    <xf numFmtId="0" fontId="72" fillId="3" borderId="16" xfId="0" applyFont="1" applyFill="1" applyBorder="1" applyAlignment="1">
      <alignment horizontal="center" vertical="center"/>
    </xf>
    <xf numFmtId="0" fontId="71" fillId="3" borderId="16" xfId="0" applyFont="1" applyFill="1" applyBorder="1" applyAlignment="1">
      <alignment horizontal="center" vertical="center"/>
    </xf>
    <xf numFmtId="0" fontId="72" fillId="3" borderId="0" xfId="0" applyFont="1" applyFill="1" applyBorder="1" applyAlignment="1">
      <alignment horizontal="center" vertical="center"/>
    </xf>
    <xf numFmtId="0" fontId="71" fillId="3" borderId="0" xfId="0" applyFont="1" applyFill="1" applyBorder="1" applyAlignment="1">
      <alignment horizontal="center" vertical="center"/>
    </xf>
    <xf numFmtId="0" fontId="72" fillId="3" borderId="0" xfId="0" applyFont="1" applyFill="1" applyAlignment="1">
      <alignment horizontal="center" vertical="center"/>
    </xf>
    <xf numFmtId="2" fontId="71" fillId="3" borderId="0" xfId="0" applyNumberFormat="1" applyFont="1" applyFill="1" applyAlignment="1">
      <alignment horizontal="center" vertical="center"/>
    </xf>
    <xf numFmtId="9" fontId="71" fillId="3" borderId="22" xfId="15" applyFont="1" applyFill="1" applyBorder="1" applyAlignment="1">
      <alignment horizontal="center" vertical="center"/>
    </xf>
    <xf numFmtId="9" fontId="71" fillId="3" borderId="72" xfId="15" applyFont="1" applyFill="1" applyBorder="1" applyAlignment="1">
      <alignment horizontal="center" vertical="center"/>
    </xf>
    <xf numFmtId="9" fontId="71" fillId="3" borderId="23" xfId="15" applyFont="1" applyFill="1" applyBorder="1" applyAlignment="1">
      <alignment horizontal="center" vertical="center"/>
    </xf>
    <xf numFmtId="9" fontId="46" fillId="7" borderId="18" xfId="15" applyFont="1" applyFill="1" applyBorder="1" applyAlignment="1">
      <alignment horizontal="center" vertical="center"/>
    </xf>
    <xf numFmtId="1" fontId="71" fillId="3" borderId="22" xfId="18" applyNumberFormat="1" applyFont="1" applyFill="1" applyBorder="1" applyAlignment="1">
      <alignment horizontal="center" vertical="center"/>
    </xf>
    <xf numFmtId="1" fontId="71" fillId="3" borderId="72" xfId="18" applyNumberFormat="1" applyFont="1" applyFill="1" applyBorder="1" applyAlignment="1">
      <alignment horizontal="center" vertical="center"/>
    </xf>
    <xf numFmtId="1" fontId="71" fillId="3" borderId="23" xfId="18" applyNumberFormat="1" applyFont="1" applyFill="1" applyBorder="1" applyAlignment="1">
      <alignment horizontal="center" vertical="center"/>
    </xf>
    <xf numFmtId="1" fontId="46" fillId="7" borderId="18" xfId="18" applyNumberFormat="1" applyFont="1" applyFill="1" applyBorder="1" applyAlignment="1">
      <alignment horizontal="center" vertical="center"/>
    </xf>
    <xf numFmtId="0" fontId="72" fillId="3" borderId="26" xfId="0" applyFont="1" applyFill="1" applyBorder="1"/>
    <xf numFmtId="0" fontId="71" fillId="3" borderId="0" xfId="0" applyFont="1" applyFill="1" applyAlignment="1">
      <alignment horizontal="center" vertical="center"/>
    </xf>
    <xf numFmtId="165" fontId="71" fillId="3" borderId="22" xfId="18" applyNumberFormat="1" applyFont="1" applyFill="1" applyBorder="1" applyAlignment="1">
      <alignment horizontal="center" vertical="center"/>
    </xf>
    <xf numFmtId="165" fontId="71" fillId="3" borderId="72" xfId="18" applyNumberFormat="1" applyFont="1" applyFill="1" applyBorder="1" applyAlignment="1">
      <alignment horizontal="center" vertical="center"/>
    </xf>
    <xf numFmtId="165" fontId="71" fillId="3" borderId="23" xfId="18" applyNumberFormat="1" applyFont="1" applyFill="1" applyBorder="1" applyAlignment="1">
      <alignment horizontal="center" vertical="center"/>
    </xf>
    <xf numFmtId="165" fontId="46" fillId="7" borderId="18" xfId="18" applyNumberFormat="1" applyFont="1" applyFill="1" applyBorder="1" applyAlignment="1">
      <alignment horizontal="center" vertical="center"/>
    </xf>
    <xf numFmtId="0" fontId="76" fillId="3" borderId="26" xfId="0" applyFont="1" applyFill="1" applyBorder="1"/>
    <xf numFmtId="3" fontId="71" fillId="3" borderId="0" xfId="0" applyNumberFormat="1" applyFont="1" applyFill="1" applyAlignment="1">
      <alignment horizontal="center" vertical="center"/>
    </xf>
    <xf numFmtId="37" fontId="72" fillId="3" borderId="0" xfId="0" applyNumberFormat="1" applyFont="1" applyFill="1" applyBorder="1"/>
    <xf numFmtId="168" fontId="38" fillId="14" borderId="15" xfId="18" applyNumberFormat="1" applyFont="1" applyFill="1" applyBorder="1" applyAlignment="1" applyProtection="1">
      <alignment vertical="center"/>
      <protection locked="0"/>
    </xf>
    <xf numFmtId="168" fontId="38" fillId="14" borderId="16" xfId="18" applyNumberFormat="1" applyFont="1" applyFill="1" applyBorder="1" applyAlignment="1" applyProtection="1">
      <alignment vertical="center"/>
      <protection locked="0"/>
    </xf>
    <xf numFmtId="168" fontId="38" fillId="14" borderId="31" xfId="18" applyNumberFormat="1" applyFont="1" applyFill="1" applyBorder="1" applyAlignment="1" applyProtection="1">
      <alignment vertical="center"/>
      <protection locked="0"/>
    </xf>
    <xf numFmtId="168" fontId="38" fillId="14" borderId="66" xfId="18" applyNumberFormat="1" applyFont="1" applyFill="1" applyBorder="1" applyAlignment="1" applyProtection="1">
      <alignment vertical="center"/>
      <protection locked="0"/>
    </xf>
    <xf numFmtId="168" fontId="38" fillId="14" borderId="17" xfId="18" applyNumberFormat="1" applyFont="1" applyFill="1" applyBorder="1" applyAlignment="1" applyProtection="1">
      <alignment vertical="center"/>
      <protection locked="0"/>
    </xf>
    <xf numFmtId="0" fontId="38" fillId="3" borderId="27" xfId="0" applyFont="1" applyFill="1" applyBorder="1" applyAlignment="1" applyProtection="1">
      <alignment horizontal="center" vertical="center"/>
      <protection locked="0"/>
    </xf>
    <xf numFmtId="0" fontId="0" fillId="3" borderId="0" xfId="0" applyFill="1" applyProtection="1">
      <protection locked="0"/>
    </xf>
    <xf numFmtId="0" fontId="0" fillId="3" borderId="27" xfId="0" applyFill="1" applyBorder="1" applyProtection="1">
      <protection locked="0"/>
    </xf>
    <xf numFmtId="9" fontId="38" fillId="3" borderId="17" xfId="0" applyNumberFormat="1" applyFont="1" applyFill="1" applyBorder="1" applyAlignment="1" applyProtection="1">
      <alignment horizontal="center" vertical="center"/>
      <protection locked="0"/>
    </xf>
    <xf numFmtId="9" fontId="38" fillId="3" borderId="73" xfId="0" applyNumberFormat="1" applyFont="1" applyFill="1" applyBorder="1" applyAlignment="1" applyProtection="1">
      <alignment horizontal="center" vertical="center"/>
      <protection locked="0"/>
    </xf>
    <xf numFmtId="0" fontId="38" fillId="3" borderId="23" xfId="0" applyFont="1" applyFill="1" applyBorder="1" applyProtection="1">
      <protection locked="0"/>
    </xf>
    <xf numFmtId="171" fontId="38" fillId="3" borderId="23" xfId="0" applyNumberFormat="1" applyFont="1" applyFill="1" applyBorder="1" applyProtection="1">
      <protection locked="0"/>
    </xf>
    <xf numFmtId="0" fontId="7" fillId="3" borderId="23" xfId="0" applyFont="1" applyFill="1" applyBorder="1" applyProtection="1">
      <protection locked="0"/>
    </xf>
    <xf numFmtId="10" fontId="38" fillId="3" borderId="23" xfId="0" applyNumberFormat="1" applyFont="1" applyFill="1" applyBorder="1" applyProtection="1">
      <protection locked="0"/>
    </xf>
    <xf numFmtId="168" fontId="0" fillId="3" borderId="0" xfId="18" applyNumberFormat="1" applyFont="1" applyFill="1" applyBorder="1" applyAlignment="1">
      <alignment vertical="center"/>
    </xf>
    <xf numFmtId="0" fontId="26" fillId="3" borderId="0" xfId="0" applyFont="1" applyFill="1" applyBorder="1" applyAlignment="1">
      <alignment horizontal="center" vertical="center"/>
    </xf>
    <xf numFmtId="178" fontId="77" fillId="16" borderId="74" xfId="0" applyNumberFormat="1" applyFont="1" applyFill="1" applyBorder="1" applyAlignment="1">
      <alignment horizontal="center" vertical="center"/>
    </xf>
    <xf numFmtId="0" fontId="77" fillId="17" borderId="75" xfId="0" applyFont="1" applyFill="1" applyBorder="1" applyAlignment="1">
      <alignment horizontal="center" vertical="center"/>
    </xf>
    <xf numFmtId="178" fontId="77" fillId="16" borderId="75" xfId="0" applyNumberFormat="1" applyFont="1" applyFill="1" applyBorder="1" applyAlignment="1">
      <alignment horizontal="center" vertical="center"/>
    </xf>
    <xf numFmtId="0" fontId="77" fillId="17" borderId="76" xfId="0" applyFont="1" applyFill="1" applyBorder="1" applyAlignment="1">
      <alignment horizontal="center" vertical="center"/>
    </xf>
    <xf numFmtId="0" fontId="0" fillId="17" borderId="77" xfId="0" applyFill="1" applyBorder="1" applyAlignment="1">
      <alignment horizontal="center"/>
    </xf>
    <xf numFmtId="172" fontId="79" fillId="17" borderId="8" xfId="0" applyNumberFormat="1" applyFont="1" applyFill="1" applyBorder="1" applyAlignment="1">
      <alignment horizontal="center" vertical="center"/>
    </xf>
    <xf numFmtId="0" fontId="80" fillId="17" borderId="78" xfId="0" applyFont="1" applyFill="1" applyBorder="1" applyAlignment="1">
      <alignment horizontal="center"/>
    </xf>
    <xf numFmtId="178" fontId="80" fillId="17" borderId="78" xfId="0" applyNumberFormat="1" applyFont="1" applyFill="1" applyBorder="1" applyAlignment="1">
      <alignment horizontal="center"/>
    </xf>
    <xf numFmtId="178" fontId="80" fillId="16" borderId="79" xfId="0" applyNumberFormat="1" applyFont="1" applyFill="1" applyBorder="1" applyAlignment="1">
      <alignment horizontal="center" vertical="center"/>
    </xf>
    <xf numFmtId="172" fontId="81" fillId="17" borderId="80" xfId="0" applyNumberFormat="1" applyFont="1" applyFill="1" applyBorder="1" applyAlignment="1">
      <alignment horizontal="center" vertical="center"/>
    </xf>
    <xf numFmtId="178" fontId="80" fillId="16" borderId="80" xfId="0" applyNumberFormat="1" applyFont="1" applyFill="1" applyBorder="1" applyAlignment="1">
      <alignment horizontal="center" vertical="center"/>
    </xf>
    <xf numFmtId="172" fontId="81" fillId="17" borderId="81" xfId="0" applyNumberFormat="1" applyFont="1" applyFill="1" applyBorder="1" applyAlignment="1">
      <alignment horizontal="center" vertical="center"/>
    </xf>
    <xf numFmtId="0" fontId="80" fillId="17" borderId="82" xfId="0" applyFont="1" applyFill="1" applyBorder="1" applyAlignment="1">
      <alignment horizontal="center"/>
    </xf>
    <xf numFmtId="178" fontId="80" fillId="17" borderId="82" xfId="0" applyNumberFormat="1" applyFont="1" applyFill="1" applyBorder="1" applyAlignment="1">
      <alignment horizontal="center"/>
    </xf>
    <xf numFmtId="178" fontId="80" fillId="16" borderId="83" xfId="0" applyNumberFormat="1" applyFont="1" applyFill="1" applyBorder="1" applyAlignment="1">
      <alignment horizontal="center" vertical="center"/>
    </xf>
    <xf numFmtId="172" fontId="81" fillId="17" borderId="84" xfId="0" applyNumberFormat="1" applyFont="1" applyFill="1" applyBorder="1" applyAlignment="1">
      <alignment horizontal="center" vertical="center"/>
    </xf>
    <xf numFmtId="178" fontId="80" fillId="16" borderId="84" xfId="0" applyNumberFormat="1" applyFont="1" applyFill="1" applyBorder="1" applyAlignment="1">
      <alignment horizontal="center" vertical="center"/>
    </xf>
    <xf numFmtId="172" fontId="81" fillId="17" borderId="85" xfId="0" applyNumberFormat="1" applyFont="1" applyFill="1" applyBorder="1" applyAlignment="1">
      <alignment horizontal="center" vertical="center"/>
    </xf>
    <xf numFmtId="172" fontId="81" fillId="17" borderId="86" xfId="0" applyNumberFormat="1" applyFont="1" applyFill="1" applyBorder="1" applyAlignment="1">
      <alignment horizontal="center" vertical="center"/>
    </xf>
    <xf numFmtId="0" fontId="24" fillId="3" borderId="0" xfId="0" applyFont="1" applyFill="1"/>
    <xf numFmtId="0" fontId="24" fillId="18" borderId="77" xfId="0" applyFont="1" applyFill="1" applyBorder="1" applyAlignment="1">
      <alignment horizontal="center"/>
    </xf>
    <xf numFmtId="0" fontId="82" fillId="15" borderId="0" xfId="0" applyFont="1" applyFill="1"/>
    <xf numFmtId="178" fontId="24" fillId="18" borderId="87" xfId="0" applyNumberFormat="1" applyFont="1" applyFill="1" applyBorder="1" applyAlignment="1">
      <alignment horizontal="center"/>
    </xf>
    <xf numFmtId="178" fontId="83" fillId="19" borderId="0" xfId="0" applyNumberFormat="1" applyFont="1" applyFill="1" applyAlignment="1">
      <alignment horizontal="center"/>
    </xf>
    <xf numFmtId="172" fontId="84" fillId="18" borderId="0" xfId="0" applyNumberFormat="1" applyFont="1" applyFill="1" applyAlignment="1">
      <alignment horizontal="center" vertical="center"/>
    </xf>
    <xf numFmtId="178" fontId="24" fillId="19" borderId="0" xfId="0" applyNumberFormat="1" applyFont="1" applyFill="1" applyAlignment="1">
      <alignment horizontal="center" vertical="center"/>
    </xf>
    <xf numFmtId="172" fontId="84" fillId="18" borderId="88" xfId="0" applyNumberFormat="1" applyFont="1" applyFill="1" applyBorder="1" applyAlignment="1">
      <alignment horizontal="center" vertical="center"/>
    </xf>
    <xf numFmtId="172" fontId="84" fillId="18" borderId="89" xfId="0" applyNumberFormat="1" applyFont="1" applyFill="1" applyBorder="1" applyAlignment="1">
      <alignment horizontal="center" vertical="center"/>
    </xf>
    <xf numFmtId="0" fontId="24" fillId="3" borderId="0" xfId="0" applyFont="1" applyFill="1" applyAlignment="1">
      <alignment horizontal="center"/>
    </xf>
    <xf numFmtId="0" fontId="40" fillId="3" borderId="0" xfId="0" applyFont="1" applyFill="1" applyAlignment="1">
      <alignment vertical="center"/>
    </xf>
    <xf numFmtId="0" fontId="29" fillId="3" borderId="0" xfId="0" applyFont="1" applyFill="1" applyAlignment="1">
      <alignment horizontal="center" vertical="center"/>
    </xf>
    <xf numFmtId="0" fontId="23" fillId="3" borderId="0" xfId="0" applyFont="1" applyFill="1"/>
    <xf numFmtId="166" fontId="0" fillId="3" borderId="0" xfId="18" applyNumberFormat="1" applyFont="1" applyFill="1" applyAlignment="1">
      <alignment horizontal="center" vertical="center"/>
    </xf>
    <xf numFmtId="166" fontId="10" fillId="14" borderId="22" xfId="16" applyNumberFormat="1" applyFont="1" applyFill="1" applyBorder="1" applyAlignment="1">
      <alignment horizontal="left" vertical="center" wrapText="1"/>
    </xf>
    <xf numFmtId="166" fontId="10" fillId="14" borderId="15" xfId="16" applyNumberFormat="1" applyFont="1" applyFill="1" applyBorder="1" applyAlignment="1">
      <alignment horizontal="center" vertical="center" wrapText="1"/>
    </xf>
    <xf numFmtId="166" fontId="7" fillId="14" borderId="15" xfId="18" applyNumberFormat="1" applyFont="1" applyFill="1" applyBorder="1" applyAlignment="1">
      <alignment vertical="center"/>
    </xf>
    <xf numFmtId="166" fontId="7" fillId="14" borderId="16" xfId="18" applyNumberFormat="1" applyFont="1" applyFill="1" applyBorder="1" applyAlignment="1">
      <alignment vertical="center"/>
    </xf>
    <xf numFmtId="166" fontId="7" fillId="14" borderId="31" xfId="18" applyNumberFormat="1" applyFont="1" applyFill="1" applyBorder="1" applyAlignment="1">
      <alignment vertical="center"/>
    </xf>
    <xf numFmtId="166" fontId="7" fillId="14" borderId="66" xfId="18" applyNumberFormat="1" applyFont="1" applyFill="1" applyBorder="1" applyAlignment="1">
      <alignment vertical="center"/>
    </xf>
    <xf numFmtId="166" fontId="7" fillId="14" borderId="17" xfId="18" applyNumberFormat="1" applyFont="1" applyFill="1" applyBorder="1" applyAlignment="1">
      <alignment vertical="center"/>
    </xf>
    <xf numFmtId="166" fontId="0" fillId="3" borderId="0" xfId="18" applyNumberFormat="1" applyFont="1" applyFill="1" applyAlignment="1">
      <alignment vertical="center"/>
    </xf>
    <xf numFmtId="166" fontId="38" fillId="14" borderId="15" xfId="18" applyNumberFormat="1" applyFont="1" applyFill="1" applyBorder="1" applyAlignment="1">
      <alignment vertical="center"/>
    </xf>
    <xf numFmtId="0" fontId="29" fillId="3" borderId="26" xfId="0" applyFont="1" applyFill="1" applyBorder="1" applyAlignment="1">
      <alignment horizontal="center" vertical="center"/>
    </xf>
    <xf numFmtId="0" fontId="29" fillId="3" borderId="16" xfId="0" applyFont="1" applyFill="1" applyBorder="1" applyAlignment="1">
      <alignment horizontal="center" vertical="center"/>
    </xf>
    <xf numFmtId="0" fontId="0" fillId="3" borderId="13" xfId="0" applyFill="1" applyBorder="1" applyAlignment="1">
      <alignment vertical="center" wrapText="1"/>
    </xf>
    <xf numFmtId="0" fontId="7" fillId="20" borderId="44" xfId="0" applyFont="1" applyFill="1" applyBorder="1" applyAlignment="1">
      <alignment vertical="center"/>
    </xf>
    <xf numFmtId="0" fontId="0" fillId="20" borderId="26" xfId="0" applyFill="1" applyBorder="1" applyAlignment="1">
      <alignment vertical="center"/>
    </xf>
    <xf numFmtId="0" fontId="0" fillId="20" borderId="27" xfId="0" applyFill="1" applyBorder="1" applyAlignment="1">
      <alignment vertical="center"/>
    </xf>
    <xf numFmtId="0" fontId="0" fillId="3" borderId="20" xfId="0" applyFill="1" applyBorder="1" applyAlignment="1">
      <alignment vertical="center"/>
    </xf>
    <xf numFmtId="0" fontId="0" fillId="3" borderId="21" xfId="0" applyFill="1" applyBorder="1" applyAlignment="1">
      <alignment vertical="center"/>
    </xf>
    <xf numFmtId="168" fontId="23" fillId="3" borderId="18" xfId="18" applyNumberFormat="1" applyFont="1" applyFill="1" applyBorder="1" applyAlignment="1">
      <alignment vertical="center"/>
    </xf>
    <xf numFmtId="1" fontId="23" fillId="3" borderId="26" xfId="18" applyNumberFormat="1" applyFont="1" applyFill="1" applyBorder="1" applyAlignment="1">
      <alignment vertical="center"/>
    </xf>
    <xf numFmtId="1" fontId="23" fillId="3" borderId="27" xfId="18" applyNumberFormat="1" applyFont="1" applyFill="1" applyBorder="1" applyAlignment="1">
      <alignment vertical="center"/>
    </xf>
    <xf numFmtId="168" fontId="23" fillId="20" borderId="25" xfId="18" applyNumberFormat="1" applyFont="1" applyFill="1" applyBorder="1" applyAlignment="1">
      <alignment vertical="center"/>
    </xf>
    <xf numFmtId="169" fontId="7" fillId="3" borderId="44" xfId="16" applyNumberFormat="1" applyFont="1" applyFill="1" applyBorder="1" applyAlignment="1">
      <alignment vertical="center" wrapText="1"/>
    </xf>
    <xf numFmtId="169" fontId="0" fillId="3" borderId="0" xfId="0" applyNumberFormat="1" applyFill="1" applyAlignment="1">
      <alignment wrapText="1"/>
    </xf>
    <xf numFmtId="169" fontId="38" fillId="14" borderId="15" xfId="16" applyNumberFormat="1" applyFont="1" applyFill="1" applyBorder="1" applyAlignment="1">
      <alignment vertical="center"/>
    </xf>
    <xf numFmtId="166" fontId="0" fillId="3" borderId="0" xfId="18" applyNumberFormat="1" applyFont="1" applyFill="1" applyAlignment="1">
      <alignment vertical="center"/>
    </xf>
    <xf numFmtId="166" fontId="10" fillId="14" borderId="22" xfId="16" applyNumberFormat="1" applyFont="1" applyFill="1" applyBorder="1" applyAlignment="1">
      <alignment vertical="center" wrapText="1"/>
    </xf>
    <xf numFmtId="166" fontId="6" fillId="3" borderId="23" xfId="18" applyNumberFormat="1" applyFont="1" applyFill="1" applyBorder="1" applyAlignment="1">
      <alignment horizontal="center" vertical="center" wrapText="1"/>
    </xf>
    <xf numFmtId="166" fontId="5" fillId="3" borderId="22" xfId="18" applyNumberFormat="1" applyFont="1" applyFill="1" applyBorder="1" applyAlignment="1">
      <alignment horizontal="center" vertical="center" wrapText="1"/>
    </xf>
    <xf numFmtId="166" fontId="5" fillId="3" borderId="16" xfId="18" applyNumberFormat="1" applyFont="1" applyFill="1" applyBorder="1" applyAlignment="1">
      <alignment horizontal="center" vertical="center" wrapText="1"/>
    </xf>
    <xf numFmtId="166" fontId="21" fillId="3" borderId="23" xfId="18" applyNumberFormat="1" applyFont="1" applyFill="1" applyBorder="1" applyAlignment="1">
      <alignment horizontal="center" vertical="center" wrapText="1"/>
    </xf>
    <xf numFmtId="44" fontId="32" fillId="3" borderId="13" xfId="16" applyFont="1" applyFill="1" applyBorder="1"/>
    <xf numFmtId="44" fontId="32" fillId="3" borderId="0" xfId="16" applyFont="1" applyFill="1" applyBorder="1"/>
    <xf numFmtId="44" fontId="32" fillId="3" borderId="1" xfId="16" applyFont="1" applyFill="1" applyBorder="1"/>
    <xf numFmtId="44" fontId="32" fillId="3" borderId="19" xfId="0" applyNumberFormat="1" applyFont="1" applyFill="1" applyBorder="1"/>
    <xf numFmtId="44" fontId="32" fillId="3" borderId="20" xfId="0" applyNumberFormat="1" applyFont="1" applyFill="1" applyBorder="1"/>
    <xf numFmtId="44" fontId="32" fillId="3" borderId="19" xfId="16" applyFont="1" applyFill="1" applyBorder="1"/>
    <xf numFmtId="44" fontId="32" fillId="3" borderId="20" xfId="16" applyFont="1" applyFill="1" applyBorder="1"/>
    <xf numFmtId="44" fontId="32" fillId="3" borderId="21" xfId="16" applyFont="1" applyFill="1" applyBorder="1"/>
    <xf numFmtId="166" fontId="20" fillId="3" borderId="1" xfId="16" applyNumberFormat="1" applyFont="1" applyFill="1" applyBorder="1"/>
    <xf numFmtId="166" fontId="20" fillId="3" borderId="13" xfId="16" applyNumberFormat="1" applyFont="1" applyFill="1" applyBorder="1"/>
    <xf numFmtId="166" fontId="20" fillId="3" borderId="0" xfId="16" applyNumberFormat="1" applyFont="1" applyFill="1" applyBorder="1"/>
    <xf numFmtId="166" fontId="0" fillId="3" borderId="0" xfId="0" applyNumberFormat="1" applyFill="1"/>
    <xf numFmtId="166" fontId="20" fillId="3" borderId="23" xfId="16" applyNumberFormat="1" applyFont="1" applyFill="1" applyBorder="1"/>
    <xf numFmtId="166" fontId="0" fillId="3" borderId="0" xfId="16" applyNumberFormat="1" applyFont="1" applyFill="1" applyBorder="1"/>
    <xf numFmtId="166" fontId="20" fillId="3" borderId="0" xfId="0" applyNumberFormat="1" applyFont="1" applyFill="1" applyBorder="1"/>
    <xf numFmtId="166" fontId="0" fillId="3" borderId="0" xfId="0" applyNumberFormat="1" applyFill="1" applyBorder="1"/>
    <xf numFmtId="166" fontId="0" fillId="3" borderId="1" xfId="16" applyNumberFormat="1" applyFont="1" applyFill="1" applyBorder="1"/>
    <xf numFmtId="166" fontId="0" fillId="3" borderId="13" xfId="16" applyNumberFormat="1" applyFont="1" applyFill="1" applyBorder="1"/>
    <xf numFmtId="166" fontId="20" fillId="3" borderId="1" xfId="0" applyNumberFormat="1" applyFont="1" applyFill="1" applyBorder="1"/>
    <xf numFmtId="166" fontId="20" fillId="3" borderId="13" xfId="0" applyNumberFormat="1" applyFont="1" applyFill="1" applyBorder="1"/>
    <xf numFmtId="166" fontId="0" fillId="3" borderId="1" xfId="0" applyNumberFormat="1" applyFill="1" applyBorder="1"/>
    <xf numFmtId="166" fontId="0" fillId="3" borderId="13" xfId="0" applyNumberFormat="1" applyFill="1" applyBorder="1"/>
    <xf numFmtId="166" fontId="7" fillId="3" borderId="0" xfId="0" applyNumberFormat="1" applyFont="1" applyFill="1"/>
    <xf numFmtId="166" fontId="38" fillId="3" borderId="21" xfId="0" applyNumberFormat="1" applyFont="1" applyFill="1" applyBorder="1"/>
    <xf numFmtId="166" fontId="38" fillId="3" borderId="19" xfId="0" applyNumberFormat="1" applyFont="1" applyFill="1" applyBorder="1"/>
    <xf numFmtId="166" fontId="38" fillId="3" borderId="20" xfId="0" applyNumberFormat="1" applyFont="1" applyFill="1" applyBorder="1"/>
    <xf numFmtId="166" fontId="7" fillId="3" borderId="20" xfId="0" applyNumberFormat="1" applyFont="1" applyFill="1" applyBorder="1"/>
    <xf numFmtId="166" fontId="7" fillId="3" borderId="21" xfId="0" applyNumberFormat="1" applyFont="1" applyFill="1" applyBorder="1"/>
    <xf numFmtId="166" fontId="7" fillId="3" borderId="19" xfId="0" applyNumberFormat="1" applyFont="1" applyFill="1" applyBorder="1"/>
    <xf numFmtId="0" fontId="70" fillId="4" borderId="23" xfId="0" applyFont="1" applyFill="1" applyBorder="1" applyAlignment="1">
      <alignment horizontal="left"/>
    </xf>
    <xf numFmtId="1" fontId="0" fillId="3" borderId="0" xfId="18" applyNumberFormat="1" applyFont="1" applyFill="1" applyBorder="1" applyAlignment="1">
      <alignment vertical="center"/>
    </xf>
    <xf numFmtId="1" fontId="0" fillId="3" borderId="19" xfId="18" applyNumberFormat="1" applyFont="1" applyFill="1" applyBorder="1" applyAlignment="1">
      <alignment vertical="center"/>
    </xf>
    <xf numFmtId="166" fontId="10" fillId="14" borderId="15" xfId="16" applyNumberFormat="1" applyFont="1" applyFill="1" applyBorder="1" applyAlignment="1">
      <alignment horizontal="left" vertical="center" wrapText="1"/>
    </xf>
    <xf numFmtId="44" fontId="8" fillId="4" borderId="0" xfId="0" applyNumberFormat="1" applyFont="1" applyFill="1"/>
    <xf numFmtId="9" fontId="8" fillId="4" borderId="0" xfId="15" applyFont="1" applyFill="1"/>
    <xf numFmtId="166" fontId="8" fillId="4" borderId="0" xfId="0" applyNumberFormat="1" applyFont="1" applyFill="1"/>
    <xf numFmtId="166" fontId="0" fillId="3" borderId="19" xfId="18" applyNumberFormat="1" applyFont="1" applyFill="1" applyBorder="1" applyAlignment="1">
      <alignment horizontal="left" vertical="center"/>
    </xf>
    <xf numFmtId="169" fontId="7" fillId="3" borderId="20" xfId="16" applyNumberFormat="1" applyFont="1" applyFill="1" applyBorder="1" applyAlignment="1">
      <alignment horizontal="center" vertical="center" wrapText="1"/>
    </xf>
    <xf numFmtId="0" fontId="0" fillId="3" borderId="36" xfId="0" applyFill="1" applyBorder="1" applyAlignment="1">
      <alignment vertical="center"/>
    </xf>
    <xf numFmtId="0" fontId="0" fillId="3" borderId="38" xfId="0" applyFill="1" applyBorder="1" applyAlignment="1">
      <alignment vertical="center"/>
    </xf>
    <xf numFmtId="0" fontId="0" fillId="3" borderId="42" xfId="0" applyFill="1" applyBorder="1" applyAlignment="1">
      <alignment vertical="center"/>
    </xf>
    <xf numFmtId="9" fontId="0" fillId="3" borderId="42" xfId="0" applyNumberFormat="1" applyFill="1" applyBorder="1" applyAlignment="1">
      <alignment vertical="center"/>
    </xf>
    <xf numFmtId="9" fontId="0" fillId="3" borderId="43" xfId="0" applyNumberFormat="1" applyFill="1" applyBorder="1" applyAlignment="1">
      <alignment vertical="center"/>
    </xf>
    <xf numFmtId="0" fontId="7" fillId="3" borderId="39" xfId="0" applyFont="1" applyFill="1" applyBorder="1" applyAlignment="1">
      <alignment vertical="center"/>
    </xf>
    <xf numFmtId="0" fontId="7" fillId="3" borderId="90" xfId="0" applyFont="1" applyFill="1" applyBorder="1" applyAlignment="1">
      <alignment vertical="center"/>
    </xf>
    <xf numFmtId="0" fontId="7" fillId="20" borderId="25" xfId="0" applyFont="1" applyFill="1" applyBorder="1" applyAlignment="1">
      <alignment vertical="center"/>
    </xf>
    <xf numFmtId="3" fontId="9" fillId="3" borderId="0" xfId="0" applyNumberFormat="1" applyFont="1" applyFill="1"/>
    <xf numFmtId="175" fontId="0" fillId="3" borderId="36" xfId="0" applyNumberFormat="1" applyFill="1" applyBorder="1" applyAlignment="1">
      <alignment vertical="center"/>
    </xf>
    <xf numFmtId="175" fontId="0" fillId="3" borderId="38" xfId="0" applyNumberFormat="1" applyFill="1" applyBorder="1" applyAlignment="1">
      <alignment vertical="center"/>
    </xf>
    <xf numFmtId="175" fontId="7" fillId="3" borderId="39" xfId="0" applyNumberFormat="1" applyFont="1" applyFill="1" applyBorder="1" applyAlignment="1">
      <alignment vertical="center"/>
    </xf>
    <xf numFmtId="44" fontId="20" fillId="3" borderId="13" xfId="0" applyNumberFormat="1" applyFont="1" applyFill="1" applyBorder="1"/>
    <xf numFmtId="166" fontId="8" fillId="4" borderId="23" xfId="0" applyNumberFormat="1" applyFont="1" applyFill="1" applyBorder="1"/>
    <xf numFmtId="166" fontId="0" fillId="3" borderId="23" xfId="0" applyNumberFormat="1" applyFill="1" applyBorder="1" applyAlignment="1">
      <alignment horizontal="center"/>
    </xf>
    <xf numFmtId="1" fontId="20" fillId="3" borderId="36" xfId="0" applyNumberFormat="1" applyFont="1" applyFill="1" applyBorder="1" applyAlignment="1">
      <alignment vertical="center"/>
    </xf>
    <xf numFmtId="168" fontId="7" fillId="14" borderId="66" xfId="18" applyNumberFormat="1" applyFont="1" applyFill="1" applyBorder="1" applyAlignment="1" applyProtection="1">
      <alignment vertical="center"/>
      <protection locked="0"/>
    </xf>
    <xf numFmtId="168" fontId="7" fillId="14" borderId="16" xfId="18" applyNumberFormat="1" applyFont="1" applyFill="1" applyBorder="1" applyAlignment="1" applyProtection="1">
      <alignment vertical="center"/>
      <protection locked="0"/>
    </xf>
    <xf numFmtId="168" fontId="7" fillId="14" borderId="31" xfId="18" applyNumberFormat="1" applyFont="1" applyFill="1" applyBorder="1" applyAlignment="1" applyProtection="1">
      <alignment vertical="center"/>
      <protection locked="0"/>
    </xf>
    <xf numFmtId="168" fontId="7" fillId="14" borderId="17" xfId="18" applyNumberFormat="1" applyFont="1" applyFill="1" applyBorder="1" applyAlignment="1" applyProtection="1">
      <alignment vertical="center"/>
      <protection locked="0"/>
    </xf>
    <xf numFmtId="168" fontId="7" fillId="14" borderId="15" xfId="18" applyNumberFormat="1" applyFont="1" applyFill="1" applyBorder="1" applyAlignment="1" applyProtection="1">
      <alignment vertical="center"/>
      <protection locked="0"/>
    </xf>
    <xf numFmtId="0" fontId="7" fillId="3" borderId="13" xfId="0" applyFont="1" applyFill="1" applyBorder="1" applyAlignment="1">
      <alignment horizontal="center" vertical="center" wrapText="1"/>
    </xf>
    <xf numFmtId="168" fontId="0" fillId="3" borderId="25" xfId="18" applyNumberFormat="1" applyFont="1" applyFill="1" applyBorder="1" applyAlignment="1">
      <alignment horizontal="left"/>
    </xf>
    <xf numFmtId="2" fontId="0" fillId="3" borderId="0" xfId="0" applyNumberFormat="1" applyFill="1"/>
    <xf numFmtId="175" fontId="85" fillId="3" borderId="23" xfId="15" applyNumberFormat="1" applyFont="1" applyFill="1" applyBorder="1" applyAlignment="1">
      <alignment horizontal="center" vertical="center" wrapText="1"/>
    </xf>
    <xf numFmtId="1" fontId="0" fillId="3" borderId="0" xfId="0" applyNumberFormat="1" applyFill="1"/>
    <xf numFmtId="175" fontId="6" fillId="3" borderId="23" xfId="0" applyNumberFormat="1" applyFont="1" applyFill="1" applyBorder="1" applyAlignment="1">
      <alignment horizontal="center" vertical="center" wrapText="1"/>
    </xf>
    <xf numFmtId="168" fontId="0" fillId="3" borderId="44" xfId="18" applyNumberFormat="1" applyFont="1" applyFill="1" applyBorder="1" applyAlignment="1">
      <alignment vertical="center"/>
    </xf>
    <xf numFmtId="170" fontId="86" fillId="3" borderId="8" xfId="0" applyNumberFormat="1" applyFont="1" applyFill="1" applyBorder="1" applyAlignment="1">
      <alignment horizontal="center"/>
    </xf>
    <xf numFmtId="175" fontId="6" fillId="3" borderId="0" xfId="0" applyNumberFormat="1" applyFont="1" applyFill="1"/>
    <xf numFmtId="0" fontId="6" fillId="3" borderId="0" xfId="0" applyFont="1" applyFill="1" applyAlignment="1">
      <alignment/>
    </xf>
    <xf numFmtId="170" fontId="87" fillId="3" borderId="8" xfId="0" applyNumberFormat="1" applyFont="1" applyFill="1" applyBorder="1" applyAlignment="1">
      <alignment horizontal="center"/>
    </xf>
    <xf numFmtId="168" fontId="38" fillId="3" borderId="1" xfId="18" applyNumberFormat="1" applyFont="1" applyFill="1" applyBorder="1" applyAlignment="1">
      <alignment vertical="center"/>
    </xf>
    <xf numFmtId="168" fontId="20" fillId="3" borderId="20" xfId="18" applyNumberFormat="1" applyFont="1" applyFill="1" applyBorder="1" applyAlignment="1">
      <alignment vertical="center"/>
    </xf>
    <xf numFmtId="168" fontId="20" fillId="3" borderId="21" xfId="18" applyNumberFormat="1" applyFont="1" applyFill="1" applyBorder="1" applyAlignment="1">
      <alignment vertical="center" wrapText="1"/>
    </xf>
    <xf numFmtId="168" fontId="20" fillId="3" borderId="26" xfId="18" applyNumberFormat="1" applyFont="1" applyFill="1" applyBorder="1" applyAlignment="1">
      <alignment vertical="center"/>
    </xf>
    <xf numFmtId="168" fontId="20" fillId="3" borderId="27" xfId="18" applyNumberFormat="1" applyFont="1" applyFill="1" applyBorder="1" applyAlignment="1">
      <alignment vertical="center"/>
    </xf>
    <xf numFmtId="0" fontId="20" fillId="3" borderId="0" xfId="0" applyFont="1" applyFill="1" applyBorder="1" applyAlignment="1">
      <alignment vertical="center"/>
    </xf>
    <xf numFmtId="0" fontId="20" fillId="3" borderId="1" xfId="0" applyFont="1" applyFill="1" applyBorder="1" applyAlignment="1">
      <alignment vertical="center"/>
    </xf>
    <xf numFmtId="0" fontId="20" fillId="3" borderId="20" xfId="0" applyFont="1" applyFill="1" applyBorder="1" applyAlignment="1">
      <alignment vertical="center"/>
    </xf>
    <xf numFmtId="0" fontId="20" fillId="3" borderId="21" xfId="0" applyFont="1" applyFill="1" applyBorder="1" applyAlignment="1">
      <alignment vertical="center"/>
    </xf>
    <xf numFmtId="168" fontId="0" fillId="3" borderId="0" xfId="0" applyNumberFormat="1" applyFill="1" applyAlignment="1">
      <alignment vertical="center"/>
    </xf>
    <xf numFmtId="175" fontId="0" fillId="3" borderId="0" xfId="0" applyNumberFormat="1" applyFont="1" applyFill="1"/>
    <xf numFmtId="1" fontId="0" fillId="3" borderId="0" xfId="0" applyNumberFormat="1" applyFont="1" applyFill="1"/>
    <xf numFmtId="9" fontId="0" fillId="3" borderId="0" xfId="15" applyFont="1" applyFill="1"/>
    <xf numFmtId="10" fontId="0" fillId="3" borderId="0" xfId="15" applyNumberFormat="1" applyFont="1" applyFill="1"/>
    <xf numFmtId="9" fontId="66" fillId="3" borderId="23" xfId="15" applyNumberFormat="1" applyFont="1" applyFill="1" applyBorder="1" applyAlignment="1">
      <alignment horizontal="center" vertical="center"/>
    </xf>
    <xf numFmtId="175" fontId="23" fillId="3" borderId="0" xfId="0" applyNumberFormat="1" applyFont="1" applyFill="1"/>
    <xf numFmtId="1" fontId="23" fillId="3" borderId="0" xfId="0" applyNumberFormat="1" applyFont="1" applyFill="1"/>
    <xf numFmtId="9" fontId="23" fillId="3" borderId="0" xfId="15" applyFont="1" applyFill="1"/>
    <xf numFmtId="0" fontId="29" fillId="3" borderId="0" xfId="0" applyFont="1" applyFill="1" applyBorder="1"/>
    <xf numFmtId="175" fontId="0" fillId="3" borderId="0" xfId="0" applyNumberFormat="1" applyFont="1" applyFill="1" applyBorder="1"/>
    <xf numFmtId="1" fontId="0" fillId="3" borderId="0" xfId="0" applyNumberFormat="1" applyFont="1" applyFill="1" applyBorder="1"/>
    <xf numFmtId="9" fontId="0" fillId="3" borderId="0" xfId="15" applyFont="1" applyFill="1" applyBorder="1"/>
    <xf numFmtId="1" fontId="0" fillId="3" borderId="0" xfId="0" applyNumberFormat="1" applyFill="1" applyBorder="1"/>
    <xf numFmtId="10" fontId="0" fillId="3" borderId="0" xfId="15" applyNumberFormat="1" applyFont="1" applyFill="1" applyBorder="1"/>
    <xf numFmtId="169" fontId="10" fillId="14" borderId="15" xfId="18" applyNumberFormat="1" applyFont="1" applyFill="1" applyBorder="1" applyAlignment="1" applyProtection="1">
      <alignment vertical="center"/>
      <protection locked="0"/>
    </xf>
    <xf numFmtId="169" fontId="10" fillId="14" borderId="16" xfId="18" applyNumberFormat="1" applyFont="1" applyFill="1" applyBorder="1" applyAlignment="1" applyProtection="1">
      <alignment vertical="center"/>
      <protection locked="0"/>
    </xf>
    <xf numFmtId="169" fontId="10" fillId="14" borderId="31" xfId="18" applyNumberFormat="1" applyFont="1" applyFill="1" applyBorder="1" applyAlignment="1" applyProtection="1">
      <alignment vertical="center"/>
      <protection locked="0"/>
    </xf>
    <xf numFmtId="169" fontId="10" fillId="14" borderId="66" xfId="18" applyNumberFormat="1" applyFont="1" applyFill="1" applyBorder="1" applyAlignment="1" applyProtection="1">
      <alignment vertical="center"/>
      <protection locked="0"/>
    </xf>
    <xf numFmtId="169" fontId="10" fillId="14" borderId="17" xfId="18" applyNumberFormat="1" applyFont="1" applyFill="1" applyBorder="1" applyAlignment="1" applyProtection="1">
      <alignment vertical="center"/>
      <protection locked="0"/>
    </xf>
    <xf numFmtId="169" fontId="38" fillId="14" borderId="15" xfId="18" applyNumberFormat="1" applyFont="1" applyFill="1" applyBorder="1" applyAlignment="1">
      <alignment vertical="center"/>
    </xf>
    <xf numFmtId="169" fontId="10" fillId="14" borderId="16" xfId="18" applyNumberFormat="1" applyFont="1" applyFill="1" applyBorder="1" applyAlignment="1">
      <alignment vertical="center"/>
    </xf>
    <xf numFmtId="169" fontId="10" fillId="14" borderId="31" xfId="18" applyNumberFormat="1" applyFont="1" applyFill="1" applyBorder="1" applyAlignment="1">
      <alignment vertical="center"/>
    </xf>
    <xf numFmtId="169" fontId="10" fillId="14" borderId="66" xfId="18" applyNumberFormat="1" applyFont="1" applyFill="1" applyBorder="1" applyAlignment="1">
      <alignment vertical="center"/>
    </xf>
    <xf numFmtId="169" fontId="10" fillId="14" borderId="17" xfId="18" applyNumberFormat="1" applyFont="1" applyFill="1" applyBorder="1" applyAlignment="1">
      <alignment vertical="center"/>
    </xf>
    <xf numFmtId="169" fontId="10" fillId="14" borderId="15" xfId="18" applyNumberFormat="1" applyFont="1" applyFill="1" applyBorder="1" applyAlignment="1">
      <alignment vertical="center"/>
    </xf>
    <xf numFmtId="169" fontId="7" fillId="14" borderId="15" xfId="18" applyNumberFormat="1" applyFont="1" applyFill="1" applyBorder="1" applyAlignment="1">
      <alignment vertical="center"/>
    </xf>
    <xf numFmtId="9" fontId="23" fillId="3" borderId="0" xfId="15" applyNumberFormat="1" applyFont="1" applyFill="1"/>
    <xf numFmtId="0" fontId="6" fillId="3" borderId="18" xfId="0" applyFont="1" applyFill="1" applyBorder="1" applyAlignment="1">
      <alignment vertical="center" wrapText="1"/>
    </xf>
    <xf numFmtId="0" fontId="5" fillId="3" borderId="0" xfId="0" applyFont="1" applyFill="1" applyBorder="1" applyAlignment="1">
      <alignment vertical="center" textRotation="90"/>
    </xf>
    <xf numFmtId="0" fontId="5" fillId="3" borderId="22" xfId="0" applyFont="1" applyFill="1" applyBorder="1"/>
    <xf numFmtId="0" fontId="39" fillId="3" borderId="0" xfId="0" applyFont="1" applyFill="1" applyBorder="1" applyAlignment="1">
      <alignment horizontal="center" vertical="center"/>
    </xf>
    <xf numFmtId="0" fontId="60" fillId="3" borderId="23" xfId="0" applyFont="1" applyFill="1" applyBorder="1" applyAlignment="1">
      <alignment horizontal="center"/>
    </xf>
    <xf numFmtId="0" fontId="39" fillId="3" borderId="23" xfId="0" applyFont="1" applyFill="1" applyBorder="1" applyAlignment="1">
      <alignment horizontal="center" vertical="center"/>
    </xf>
    <xf numFmtId="1" fontId="6" fillId="3" borderId="0" xfId="18" applyNumberFormat="1" applyFont="1" applyFill="1" applyBorder="1" applyAlignment="1">
      <alignment horizontal="center" vertical="center" wrapText="1"/>
    </xf>
    <xf numFmtId="0" fontId="39" fillId="3" borderId="26" xfId="0" applyFont="1" applyFill="1" applyBorder="1" applyAlignment="1">
      <alignment horizontal="center" vertical="center"/>
    </xf>
    <xf numFmtId="0" fontId="22" fillId="3" borderId="22" xfId="0" applyFont="1" applyFill="1" applyBorder="1"/>
    <xf numFmtId="166" fontId="6" fillId="3" borderId="23" xfId="18" applyNumberFormat="1" applyFont="1" applyFill="1" applyBorder="1" applyAlignment="1">
      <alignment horizontal="left" vertical="center"/>
    </xf>
    <xf numFmtId="168" fontId="85" fillId="3" borderId="23" xfId="18" applyNumberFormat="1" applyFont="1" applyFill="1" applyBorder="1" applyAlignment="1">
      <alignment horizontal="center" vertical="center" wrapText="1"/>
    </xf>
    <xf numFmtId="9" fontId="66" fillId="3" borderId="23" xfId="0" applyNumberFormat="1" applyFont="1" applyFill="1" applyBorder="1" applyAlignment="1">
      <alignment horizontal="center"/>
    </xf>
    <xf numFmtId="168" fontId="21" fillId="3" borderId="23" xfId="18" applyNumberFormat="1" applyFont="1" applyFill="1" applyBorder="1" applyAlignment="1">
      <alignment horizontal="center" vertical="center" wrapText="1"/>
    </xf>
    <xf numFmtId="167" fontId="66" fillId="3" borderId="23" xfId="0" applyNumberFormat="1" applyFont="1" applyFill="1" applyBorder="1" applyAlignment="1">
      <alignment horizontal="center"/>
    </xf>
    <xf numFmtId="9" fontId="6" fillId="3" borderId="0" xfId="15" applyFont="1" applyFill="1" applyBorder="1" applyAlignment="1">
      <alignment horizontal="center" vertical="center"/>
    </xf>
    <xf numFmtId="9" fontId="6" fillId="3" borderId="23" xfId="15" applyFont="1" applyFill="1" applyBorder="1" applyAlignment="1">
      <alignment horizontal="center" vertical="center"/>
    </xf>
    <xf numFmtId="168" fontId="85" fillId="3" borderId="0" xfId="18" applyNumberFormat="1" applyFont="1" applyFill="1" applyBorder="1" applyAlignment="1">
      <alignment horizontal="center" vertical="center" wrapText="1"/>
    </xf>
    <xf numFmtId="0" fontId="6" fillId="3" borderId="23" xfId="0" applyFont="1" applyFill="1" applyBorder="1" applyAlignment="1">
      <alignment vertical="center"/>
    </xf>
    <xf numFmtId="1" fontId="39" fillId="3" borderId="23" xfId="0" applyNumberFormat="1" applyFont="1" applyFill="1" applyBorder="1" applyAlignment="1">
      <alignment horizontal="center" vertical="center"/>
    </xf>
    <xf numFmtId="1" fontId="6" fillId="3" borderId="0" xfId="0" applyNumberFormat="1" applyFont="1" applyFill="1" applyBorder="1" applyAlignment="1">
      <alignment horizontal="center" vertical="center"/>
    </xf>
    <xf numFmtId="1" fontId="6" fillId="3" borderId="23" xfId="0" applyNumberFormat="1" applyFont="1" applyFill="1" applyBorder="1" applyAlignment="1">
      <alignment horizontal="center" vertical="center"/>
    </xf>
    <xf numFmtId="179" fontId="6" fillId="3" borderId="23" xfId="15" applyNumberFormat="1" applyFont="1" applyFill="1" applyBorder="1" applyAlignment="1">
      <alignment horizontal="center" vertical="center"/>
    </xf>
    <xf numFmtId="179" fontId="6" fillId="3" borderId="0" xfId="15" applyNumberFormat="1" applyFont="1" applyFill="1" applyBorder="1" applyAlignment="1">
      <alignment horizontal="center" vertical="center"/>
    </xf>
    <xf numFmtId="0" fontId="6" fillId="3" borderId="0" xfId="0" applyFont="1" applyFill="1" applyBorder="1" applyAlignment="1">
      <alignment horizontal="center" vertical="center"/>
    </xf>
    <xf numFmtId="0" fontId="6" fillId="3" borderId="23" xfId="0" applyFont="1" applyFill="1" applyBorder="1" applyAlignment="1">
      <alignment horizontal="center" vertical="center"/>
    </xf>
    <xf numFmtId="168" fontId="6" fillId="4" borderId="23" xfId="0" applyNumberFormat="1" applyFont="1" applyFill="1" applyBorder="1" applyAlignment="1" applyProtection="1">
      <alignment horizontal="right" vertical="center" wrapText="1"/>
      <protection locked="0"/>
    </xf>
    <xf numFmtId="0" fontId="5" fillId="3" borderId="23" xfId="0" applyFont="1" applyFill="1" applyBorder="1" applyAlignment="1">
      <alignment horizontal="right" vertical="center" wrapText="1"/>
    </xf>
    <xf numFmtId="0" fontId="5" fillId="3" borderId="0" xfId="0" applyFont="1" applyFill="1" applyBorder="1" applyAlignment="1">
      <alignment horizontal="right" vertical="center" wrapText="1"/>
    </xf>
    <xf numFmtId="0" fontId="5" fillId="3" borderId="1" xfId="0" applyFont="1" applyFill="1" applyBorder="1" applyAlignment="1">
      <alignment horizontal="right" vertical="center" wrapText="1"/>
    </xf>
    <xf numFmtId="166" fontId="21" fillId="3" borderId="13" xfId="18" applyNumberFormat="1" applyFont="1" applyFill="1" applyBorder="1" applyAlignment="1">
      <alignment horizontal="center" vertical="center" wrapText="1"/>
    </xf>
    <xf numFmtId="166" fontId="6" fillId="3" borderId="0" xfId="18" applyNumberFormat="1" applyFont="1" applyFill="1" applyBorder="1" applyAlignment="1">
      <alignment horizontal="center" vertical="center" wrapText="1"/>
    </xf>
    <xf numFmtId="166" fontId="6" fillId="3" borderId="23" xfId="16" applyNumberFormat="1" applyFont="1" applyFill="1" applyBorder="1" applyAlignment="1">
      <alignment horizontal="center" vertical="center" wrapText="1"/>
    </xf>
    <xf numFmtId="166" fontId="6" fillId="3" borderId="0" xfId="16" applyNumberFormat="1" applyFont="1" applyFill="1" applyBorder="1" applyAlignment="1">
      <alignment horizontal="center" vertical="center" wrapText="1"/>
    </xf>
    <xf numFmtId="10" fontId="66" fillId="3" borderId="13" xfId="0" applyNumberFormat="1" applyFont="1" applyFill="1" applyBorder="1" applyAlignment="1">
      <alignment horizontal="center" vertical="center"/>
    </xf>
    <xf numFmtId="10" fontId="55" fillId="3" borderId="13" xfId="0" applyNumberFormat="1" applyFont="1" applyFill="1" applyBorder="1"/>
    <xf numFmtId="0" fontId="55" fillId="3" borderId="13" xfId="0" applyFont="1" applyFill="1" applyBorder="1"/>
    <xf numFmtId="0" fontId="55" fillId="3" borderId="19" xfId="0" applyFont="1" applyFill="1" applyBorder="1"/>
    <xf numFmtId="0" fontId="6" fillId="3" borderId="23" xfId="0" applyFont="1" applyFill="1" applyBorder="1"/>
    <xf numFmtId="9" fontId="55" fillId="3" borderId="13" xfId="0" applyNumberFormat="1" applyFont="1" applyFill="1" applyBorder="1" applyAlignment="1">
      <alignment horizontal="center"/>
    </xf>
    <xf numFmtId="9" fontId="66" fillId="3" borderId="13" xfId="0" applyNumberFormat="1" applyFont="1" applyFill="1" applyBorder="1" applyAlignment="1">
      <alignment horizontal="center"/>
    </xf>
    <xf numFmtId="0" fontId="60" fillId="3" borderId="25" xfId="0" applyFont="1" applyFill="1" applyBorder="1" applyAlignment="1">
      <alignment horizontal="center" wrapText="1"/>
    </xf>
    <xf numFmtId="175" fontId="6" fillId="3" borderId="0" xfId="18" applyNumberFormat="1" applyFont="1" applyFill="1" applyBorder="1" applyAlignment="1">
      <alignment horizontal="center" vertical="center" wrapText="1"/>
    </xf>
    <xf numFmtId="175" fontId="6" fillId="3" borderId="23" xfId="18" applyNumberFormat="1" applyFont="1" applyFill="1" applyBorder="1" applyAlignment="1">
      <alignment horizontal="center" vertical="center" wrapText="1"/>
    </xf>
    <xf numFmtId="180" fontId="38" fillId="14" borderId="15" xfId="16" applyNumberFormat="1" applyFont="1" applyFill="1" applyBorder="1" applyAlignment="1">
      <alignment vertical="center"/>
    </xf>
    <xf numFmtId="0" fontId="21" fillId="3" borderId="0" xfId="0" applyFont="1" applyFill="1" applyBorder="1" applyAlignment="1">
      <alignment horizontal="center" vertical="center"/>
    </xf>
    <xf numFmtId="1" fontId="6" fillId="3" borderId="0" xfId="16" applyNumberFormat="1" applyFont="1" applyFill="1" applyBorder="1" applyAlignment="1">
      <alignment horizontal="center" vertical="center" wrapText="1"/>
    </xf>
    <xf numFmtId="1" fontId="6" fillId="3" borderId="23" xfId="16"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6" fillId="3" borderId="13" xfId="0" applyFont="1" applyFill="1" applyBorder="1" applyAlignment="1">
      <alignment vertical="center" wrapText="1"/>
    </xf>
    <xf numFmtId="0" fontId="22" fillId="3" borderId="22" xfId="0" applyFont="1" applyFill="1" applyBorder="1" applyAlignment="1">
      <alignment horizontal="center" vertical="center" wrapText="1"/>
    </xf>
    <xf numFmtId="181" fontId="6" fillId="3" borderId="0" xfId="0" applyNumberFormat="1" applyFont="1" applyFill="1" applyAlignment="1">
      <alignment horizontal="center" vertical="center"/>
    </xf>
    <xf numFmtId="166" fontId="0" fillId="3" borderId="13" xfId="0" applyNumberFormat="1" applyFont="1" applyFill="1" applyBorder="1"/>
    <xf numFmtId="166" fontId="0" fillId="3" borderId="0" xfId="0" applyNumberFormat="1" applyFont="1" applyFill="1" applyBorder="1"/>
    <xf numFmtId="166" fontId="0" fillId="3" borderId="0" xfId="18" applyNumberFormat="1" applyFont="1" applyFill="1" applyBorder="1"/>
    <xf numFmtId="166" fontId="0" fillId="3" borderId="1" xfId="0" applyNumberFormat="1" applyFont="1" applyFill="1" applyBorder="1"/>
    <xf numFmtId="166" fontId="0" fillId="3" borderId="0" xfId="0" applyNumberFormat="1" applyFont="1" applyFill="1"/>
    <xf numFmtId="0" fontId="20" fillId="3" borderId="1" xfId="0" applyFont="1" applyFill="1" applyBorder="1"/>
    <xf numFmtId="164" fontId="32" fillId="3" borderId="0" xfId="18" applyFont="1" applyFill="1" applyBorder="1" applyAlignment="1">
      <alignment vertical="center" wrapText="1"/>
    </xf>
    <xf numFmtId="182" fontId="0" fillId="3" borderId="0" xfId="18" applyNumberFormat="1" applyFont="1" applyFill="1" applyAlignment="1">
      <alignment vertical="center"/>
    </xf>
    <xf numFmtId="0" fontId="7" fillId="3" borderId="0" xfId="0" applyFont="1" applyFill="1" applyAlignment="1">
      <alignment horizontal="center" vertical="center"/>
    </xf>
    <xf numFmtId="0" fontId="0" fillId="3" borderId="44" xfId="0" applyFill="1" applyBorder="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168" fontId="90" fillId="4" borderId="13" xfId="0" applyNumberFormat="1" applyFont="1" applyFill="1" applyBorder="1" applyAlignment="1">
      <alignment vertical="center"/>
    </xf>
    <xf numFmtId="44" fontId="0" fillId="3" borderId="0" xfId="16" applyFont="1" applyFill="1" applyAlignment="1">
      <alignment horizontal="center"/>
    </xf>
    <xf numFmtId="44" fontId="0" fillId="3" borderId="0" xfId="0" applyNumberFormat="1" applyFont="1" applyFill="1"/>
    <xf numFmtId="1" fontId="59" fillId="3" borderId="0" xfId="0" applyNumberFormat="1" applyFont="1" applyFill="1" applyAlignment="1">
      <alignment horizontal="center" vertical="center"/>
    </xf>
    <xf numFmtId="9" fontId="21" fillId="3" borderId="18" xfId="15" applyFont="1" applyFill="1" applyBorder="1" applyAlignment="1">
      <alignment horizontal="center" vertical="center" wrapText="1"/>
    </xf>
    <xf numFmtId="166" fontId="0" fillId="3" borderId="91" xfId="0" applyNumberFormat="1" applyFill="1" applyBorder="1"/>
    <xf numFmtId="166" fontId="0" fillId="3" borderId="92" xfId="0" applyNumberFormat="1" applyFill="1" applyBorder="1"/>
    <xf numFmtId="175" fontId="0" fillId="3" borderId="93" xfId="0" applyNumberFormat="1" applyFont="1" applyFill="1" applyBorder="1" applyAlignment="1">
      <alignment horizontal="left" vertical="center" wrapText="1"/>
    </xf>
    <xf numFmtId="175" fontId="32" fillId="3" borderId="94" xfId="18" applyNumberFormat="1" applyFont="1" applyFill="1" applyBorder="1" applyAlignment="1" applyProtection="1">
      <alignment vertical="center"/>
      <protection locked="0"/>
    </xf>
    <xf numFmtId="175" fontId="32" fillId="3" borderId="95" xfId="18" applyNumberFormat="1" applyFont="1" applyFill="1" applyBorder="1" applyAlignment="1" applyProtection="1">
      <alignment vertical="center"/>
      <protection locked="0"/>
    </xf>
    <xf numFmtId="175" fontId="20" fillId="3" borderId="94" xfId="18" applyNumberFormat="1" applyFont="1" applyFill="1" applyBorder="1" applyAlignment="1" applyProtection="1">
      <alignment vertical="center"/>
      <protection locked="0"/>
    </xf>
    <xf numFmtId="175" fontId="0" fillId="3" borderId="94" xfId="18" applyNumberFormat="1" applyFont="1" applyFill="1" applyBorder="1" applyAlignment="1" applyProtection="1">
      <alignment vertical="center"/>
      <protection locked="0"/>
    </xf>
    <xf numFmtId="175" fontId="20" fillId="3" borderId="95" xfId="18" applyNumberFormat="1" applyFont="1" applyFill="1" applyBorder="1" applyAlignment="1" applyProtection="1">
      <alignment vertical="center"/>
      <protection locked="0"/>
    </xf>
    <xf numFmtId="175" fontId="32" fillId="3" borderId="96" xfId="18" applyNumberFormat="1" applyFont="1" applyFill="1" applyBorder="1" applyAlignment="1" applyProtection="1">
      <alignment vertical="center"/>
      <protection locked="0"/>
    </xf>
    <xf numFmtId="0" fontId="24" fillId="15" borderId="22" xfId="0" applyFont="1" applyFill="1" applyBorder="1"/>
    <xf numFmtId="10" fontId="7" fillId="3" borderId="97" xfId="0" applyNumberFormat="1" applyFont="1" applyFill="1" applyBorder="1"/>
    <xf numFmtId="10" fontId="20" fillId="3" borderId="98" xfId="0" applyNumberFormat="1" applyFont="1" applyFill="1" applyBorder="1"/>
    <xf numFmtId="10" fontId="0" fillId="3" borderId="98" xfId="0" applyNumberFormat="1" applyFont="1" applyFill="1" applyBorder="1"/>
    <xf numFmtId="10" fontId="7" fillId="3" borderId="98" xfId="0" applyNumberFormat="1" applyFont="1" applyFill="1" applyBorder="1"/>
    <xf numFmtId="1" fontId="0" fillId="3" borderId="99" xfId="0" applyNumberFormat="1" applyFont="1" applyFill="1" applyBorder="1" applyAlignment="1">
      <alignment horizontal="left" vertical="center" wrapText="1"/>
    </xf>
    <xf numFmtId="1" fontId="20" fillId="3" borderId="100" xfId="18" applyNumberFormat="1" applyFont="1" applyFill="1" applyBorder="1" applyAlignment="1">
      <alignment vertical="center"/>
    </xf>
    <xf numFmtId="1" fontId="0" fillId="3" borderId="101" xfId="18" applyNumberFormat="1" applyFont="1" applyFill="1" applyBorder="1" applyAlignment="1">
      <alignment vertical="center"/>
    </xf>
    <xf numFmtId="1" fontId="0" fillId="3" borderId="102" xfId="18" applyNumberFormat="1" applyFont="1" applyFill="1" applyBorder="1" applyAlignment="1">
      <alignment vertical="center"/>
    </xf>
    <xf numFmtId="9" fontId="0" fillId="3" borderId="101" xfId="15" applyFont="1" applyFill="1" applyBorder="1" applyAlignment="1">
      <alignment vertical="center"/>
    </xf>
    <xf numFmtId="9" fontId="0" fillId="3" borderId="102" xfId="15" applyFont="1" applyFill="1" applyBorder="1" applyAlignment="1">
      <alignment vertical="center"/>
    </xf>
    <xf numFmtId="9" fontId="20" fillId="3" borderId="101" xfId="15" applyFont="1" applyFill="1" applyBorder="1" applyAlignment="1">
      <alignment vertical="center"/>
    </xf>
    <xf numFmtId="1" fontId="7" fillId="3" borderId="101" xfId="18" applyNumberFormat="1" applyFont="1" applyFill="1" applyBorder="1" applyAlignment="1">
      <alignment vertical="center"/>
    </xf>
    <xf numFmtId="1" fontId="7" fillId="3" borderId="102" xfId="18" applyNumberFormat="1" applyFont="1" applyFill="1" applyBorder="1" applyAlignment="1">
      <alignment vertical="center"/>
    </xf>
    <xf numFmtId="169" fontId="0" fillId="3" borderId="103" xfId="16" applyNumberFormat="1" applyFont="1" applyFill="1" applyBorder="1"/>
    <xf numFmtId="169" fontId="0" fillId="3" borderId="91" xfId="16" applyNumberFormat="1" applyFont="1" applyFill="1" applyBorder="1"/>
    <xf numFmtId="169" fontId="0" fillId="3" borderId="92" xfId="16" applyNumberFormat="1" applyFont="1" applyFill="1" applyBorder="1"/>
    <xf numFmtId="169" fontId="0" fillId="3" borderId="100" xfId="16" applyNumberFormat="1" applyFont="1" applyFill="1" applyBorder="1"/>
    <xf numFmtId="169" fontId="0" fillId="3" borderId="101" xfId="16" applyNumberFormat="1" applyFont="1" applyFill="1" applyBorder="1"/>
    <xf numFmtId="169" fontId="0" fillId="3" borderId="102" xfId="16" applyNumberFormat="1" applyFont="1" applyFill="1" applyBorder="1"/>
    <xf numFmtId="169" fontId="0" fillId="3" borderId="104" xfId="16" applyNumberFormat="1" applyFont="1" applyFill="1" applyBorder="1"/>
    <xf numFmtId="1" fontId="20" fillId="3" borderId="101" xfId="18" applyNumberFormat="1" applyFont="1" applyFill="1" applyBorder="1" applyAlignment="1">
      <alignment vertical="center"/>
    </xf>
    <xf numFmtId="1" fontId="38" fillId="3" borderId="101" xfId="18" applyNumberFormat="1" applyFont="1" applyFill="1" applyBorder="1" applyAlignment="1">
      <alignment vertical="center"/>
    </xf>
    <xf numFmtId="167" fontId="38" fillId="3" borderId="23" xfId="2220" applyNumberFormat="1" applyFont="1" applyFill="1" applyBorder="1" applyProtection="1">
      <protection locked="0"/>
    </xf>
    <xf numFmtId="10" fontId="7" fillId="3" borderId="23" xfId="2220" applyNumberFormat="1" applyFont="1" applyFill="1" applyBorder="1" applyProtection="1">
      <protection locked="0"/>
    </xf>
    <xf numFmtId="171" fontId="7" fillId="3" borderId="23" xfId="2220" applyNumberFormat="1" applyFont="1" applyFill="1" applyBorder="1" applyProtection="1">
      <protection locked="0"/>
    </xf>
    <xf numFmtId="171" fontId="7" fillId="3" borderId="18" xfId="2220" applyNumberFormat="1" applyFont="1" applyFill="1" applyBorder="1" applyProtection="1">
      <protection locked="0"/>
    </xf>
    <xf numFmtId="17" fontId="0" fillId="3" borderId="26" xfId="0" applyNumberFormat="1" applyFill="1" applyBorder="1" applyAlignment="1">
      <alignment horizontal="center"/>
    </xf>
    <xf numFmtId="17" fontId="0" fillId="3" borderId="27" xfId="0" applyNumberFormat="1" applyFill="1" applyBorder="1" applyAlignment="1">
      <alignment horizontal="center"/>
    </xf>
    <xf numFmtId="17" fontId="0" fillId="3" borderId="0" xfId="0" applyNumberFormat="1" applyFill="1" applyAlignment="1">
      <alignment horizontal="center"/>
    </xf>
    <xf numFmtId="171" fontId="7" fillId="3" borderId="25" xfId="0" applyNumberFormat="1" applyFont="1" applyFill="1" applyBorder="1"/>
    <xf numFmtId="9" fontId="38" fillId="3" borderId="23" xfId="2220" applyFont="1" applyFill="1" applyBorder="1" applyProtection="1">
      <protection locked="0"/>
    </xf>
    <xf numFmtId="169" fontId="20" fillId="3" borderId="26" xfId="16" applyNumberFormat="1" applyFont="1" applyFill="1" applyBorder="1" applyAlignment="1">
      <alignment horizontal="center"/>
    </xf>
    <xf numFmtId="0" fontId="0" fillId="3" borderId="105" xfId="0" applyFill="1" applyBorder="1"/>
    <xf numFmtId="0" fontId="0" fillId="3" borderId="105" xfId="0" applyFill="1" applyBorder="1" applyAlignment="1">
      <alignment horizontal="center"/>
    </xf>
    <xf numFmtId="0" fontId="26" fillId="4" borderId="0" xfId="0" applyFont="1" applyFill="1" applyAlignment="1">
      <alignment horizontal="center" vertical="center"/>
    </xf>
    <xf numFmtId="169" fontId="0" fillId="3" borderId="26" xfId="16" applyNumberFormat="1" applyFont="1" applyFill="1" applyBorder="1" applyAlignment="1">
      <alignment horizontal="left"/>
    </xf>
    <xf numFmtId="168" fontId="38" fillId="3" borderId="0" xfId="18" applyNumberFormat="1" applyFont="1" applyFill="1" applyBorder="1" applyAlignment="1">
      <alignment vertical="center"/>
    </xf>
    <xf numFmtId="0" fontId="7" fillId="3" borderId="106" xfId="0" applyFont="1" applyFill="1" applyBorder="1" applyAlignment="1">
      <alignment horizontal="center" vertical="center" wrapText="1"/>
    </xf>
    <xf numFmtId="168" fontId="29" fillId="7" borderId="107" xfId="18" applyNumberFormat="1" applyFont="1" applyFill="1" applyBorder="1" applyAlignment="1">
      <alignment vertical="center"/>
    </xf>
    <xf numFmtId="168" fontId="0" fillId="3" borderId="107" xfId="18" applyNumberFormat="1" applyFont="1" applyFill="1" applyBorder="1" applyAlignment="1">
      <alignment vertical="center"/>
    </xf>
    <xf numFmtId="168" fontId="0" fillId="12" borderId="107" xfId="18" applyNumberFormat="1" applyFont="1" applyFill="1" applyBorder="1" applyAlignment="1">
      <alignment vertical="center"/>
    </xf>
    <xf numFmtId="9" fontId="23" fillId="11" borderId="107" xfId="15" applyFont="1" applyFill="1" applyBorder="1" applyAlignment="1">
      <alignment horizontal="center" vertical="center"/>
    </xf>
    <xf numFmtId="168" fontId="38" fillId="3" borderId="107" xfId="18" applyNumberFormat="1" applyFont="1" applyFill="1" applyBorder="1" applyAlignment="1">
      <alignment vertical="center"/>
    </xf>
    <xf numFmtId="164" fontId="38" fillId="3" borderId="107" xfId="18" applyFont="1" applyFill="1" applyBorder="1" applyAlignment="1">
      <alignment vertical="center"/>
    </xf>
    <xf numFmtId="168" fontId="38" fillId="3" borderId="108" xfId="18" applyNumberFormat="1" applyFont="1" applyFill="1" applyBorder="1" applyAlignment="1">
      <alignment vertical="center"/>
    </xf>
    <xf numFmtId="168" fontId="29" fillId="7" borderId="109" xfId="18" applyNumberFormat="1" applyFont="1" applyFill="1" applyBorder="1" applyAlignment="1">
      <alignment vertical="center"/>
    </xf>
    <xf numFmtId="164" fontId="0" fillId="3" borderId="23" xfId="0" applyNumberFormat="1" applyFill="1" applyBorder="1" applyAlignment="1">
      <alignment horizontal="left" vertical="center"/>
    </xf>
    <xf numFmtId="10" fontId="0" fillId="3" borderId="0" xfId="2220" applyNumberFormat="1" applyFont="1" applyFill="1"/>
    <xf numFmtId="0" fontId="40" fillId="3" borderId="0" xfId="0" applyFont="1" applyFill="1" applyAlignment="1">
      <alignment horizontal="center"/>
    </xf>
    <xf numFmtId="9" fontId="0" fillId="3" borderId="0" xfId="2220" applyFont="1" applyFill="1" applyAlignment="1">
      <alignment horizontal="center" vertical="center"/>
    </xf>
    <xf numFmtId="167" fontId="7" fillId="3" borderId="0" xfId="0" applyNumberFormat="1" applyFont="1" applyFill="1"/>
    <xf numFmtId="2" fontId="63" fillId="3" borderId="36" xfId="0" applyNumberFormat="1" applyFont="1" applyFill="1" applyBorder="1" applyAlignment="1">
      <alignment horizontal="center" vertical="center"/>
    </xf>
    <xf numFmtId="9" fontId="63" fillId="3" borderId="36" xfId="0" applyNumberFormat="1" applyFont="1" applyFill="1" applyBorder="1" applyAlignment="1">
      <alignment horizontal="center"/>
    </xf>
    <xf numFmtId="9" fontId="98" fillId="3" borderId="36" xfId="0" applyNumberFormat="1" applyFont="1" applyFill="1" applyBorder="1" applyAlignment="1">
      <alignment horizontal="center"/>
    </xf>
    <xf numFmtId="0" fontId="98" fillId="3" borderId="36" xfId="0" applyFont="1" applyFill="1" applyBorder="1" applyAlignment="1">
      <alignment horizontal="center"/>
    </xf>
    <xf numFmtId="9" fontId="91" fillId="3" borderId="0" xfId="2220" applyFont="1" applyFill="1" applyAlignment="1">
      <alignment horizontal="center" vertical="center"/>
    </xf>
    <xf numFmtId="10" fontId="63" fillId="3" borderId="25" xfId="0" applyNumberFormat="1" applyFont="1" applyFill="1" applyBorder="1" applyAlignment="1">
      <alignment horizontal="center" vertical="center"/>
    </xf>
    <xf numFmtId="9" fontId="0" fillId="3" borderId="0" xfId="2220" applyFont="1" applyFill="1" applyAlignment="1">
      <alignment horizontal="center" vertical="center"/>
    </xf>
    <xf numFmtId="0" fontId="7" fillId="3" borderId="24" xfId="0" applyFont="1" applyFill="1" applyBorder="1" applyAlignment="1">
      <alignment horizontal="center" vertical="center"/>
    </xf>
    <xf numFmtId="9" fontId="20" fillId="3" borderId="36" xfId="0" applyNumberFormat="1" applyFont="1" applyFill="1" applyBorder="1" applyAlignment="1">
      <alignment horizontal="center" vertical="center"/>
    </xf>
    <xf numFmtId="2" fontId="0" fillId="3" borderId="36" xfId="0" applyNumberFormat="1" applyFill="1" applyBorder="1" applyAlignment="1">
      <alignment horizontal="center" vertical="center"/>
    </xf>
    <xf numFmtId="9" fontId="20" fillId="3" borderId="2" xfId="0" applyNumberFormat="1" applyFont="1" applyFill="1" applyBorder="1" applyAlignment="1">
      <alignment horizontal="center"/>
    </xf>
    <xf numFmtId="9" fontId="20" fillId="3" borderId="9" xfId="0" applyNumberFormat="1" applyFont="1" applyFill="1" applyBorder="1" applyAlignment="1">
      <alignment horizontal="center"/>
    </xf>
    <xf numFmtId="2" fontId="0" fillId="3" borderId="2" xfId="0" applyNumberFormat="1" applyFill="1" applyBorder="1" applyAlignment="1">
      <alignment horizontal="center"/>
    </xf>
    <xf numFmtId="2" fontId="0" fillId="3" borderId="9" xfId="0" applyNumberFormat="1" applyFill="1" applyBorder="1" applyAlignment="1">
      <alignment horizontal="center"/>
    </xf>
    <xf numFmtId="0" fontId="92" fillId="3" borderId="0" xfId="0" applyFont="1" applyFill="1" applyAlignment="1">
      <alignment vertical="center" wrapText="1"/>
    </xf>
    <xf numFmtId="10" fontId="40" fillId="3" borderId="0" xfId="2220" applyNumberFormat="1" applyFont="1" applyFill="1" applyBorder="1" applyAlignment="1">
      <alignment horizontal="center" vertical="center"/>
    </xf>
    <xf numFmtId="9" fontId="96" fillId="3" borderId="36" xfId="15" applyFont="1" applyFill="1" applyBorder="1" applyAlignment="1">
      <alignment horizontal="center"/>
    </xf>
    <xf numFmtId="9" fontId="36" fillId="3" borderId="0" xfId="2220" applyFont="1" applyFill="1" applyBorder="1" applyProtection="1">
      <protection/>
    </xf>
    <xf numFmtId="0" fontId="29" fillId="15" borderId="4" xfId="0" applyFont="1" applyFill="1" applyBorder="1" applyAlignment="1">
      <alignment horizontal="center" vertical="center"/>
    </xf>
    <xf numFmtId="0" fontId="29" fillId="15" borderId="2" xfId="0" applyFont="1" applyFill="1" applyBorder="1" applyAlignment="1">
      <alignment horizontal="center" vertical="center"/>
    </xf>
    <xf numFmtId="0" fontId="33" fillId="3" borderId="0" xfId="0" applyFont="1" applyFill="1" applyAlignment="1">
      <alignment horizontal="center" vertical="center"/>
    </xf>
    <xf numFmtId="9" fontId="7" fillId="3" borderId="10" xfId="2220" applyFont="1" applyFill="1" applyBorder="1" applyAlignment="1">
      <alignment horizontal="center" vertical="center"/>
    </xf>
    <xf numFmtId="9" fontId="7" fillId="3" borderId="9" xfId="2220" applyFont="1" applyFill="1" applyBorder="1" applyAlignment="1">
      <alignment horizontal="center" vertical="center"/>
    </xf>
    <xf numFmtId="9" fontId="0" fillId="3" borderId="0" xfId="2220" applyFont="1" applyFill="1" applyBorder="1" applyAlignment="1">
      <alignment horizontal="center"/>
    </xf>
    <xf numFmtId="9" fontId="7" fillId="3" borderId="0" xfId="2220" applyFont="1" applyFill="1" applyBorder="1" applyAlignment="1">
      <alignment horizontal="center"/>
    </xf>
    <xf numFmtId="0" fontId="8" fillId="4" borderId="0" xfId="0" applyFont="1" applyFill="1" applyAlignment="1">
      <alignment horizontal="left"/>
    </xf>
    <xf numFmtId="1" fontId="8" fillId="4" borderId="0" xfId="0" applyNumberFormat="1" applyFont="1" applyFill="1" applyAlignment="1">
      <alignment horizontal="center"/>
    </xf>
    <xf numFmtId="175" fontId="8" fillId="4" borderId="0" xfId="0" applyNumberFormat="1" applyFont="1" applyFill="1" applyAlignment="1">
      <alignment horizontal="center" vertical="center"/>
    </xf>
    <xf numFmtId="1" fontId="8" fillId="4" borderId="0" xfId="0" applyNumberFormat="1" applyFont="1" applyFill="1"/>
    <xf numFmtId="44" fontId="8" fillId="4" borderId="0" xfId="16" applyFont="1" applyFill="1" applyBorder="1"/>
    <xf numFmtId="0" fontId="7" fillId="4" borderId="0" xfId="0" applyFont="1" applyFill="1" applyAlignment="1">
      <alignment horizontal="center"/>
    </xf>
    <xf numFmtId="184" fontId="7" fillId="3" borderId="0" xfId="0" applyNumberFormat="1" applyFont="1" applyFill="1" applyAlignment="1">
      <alignment horizontal="center"/>
    </xf>
    <xf numFmtId="0" fontId="29" fillId="3" borderId="0" xfId="0" applyFont="1" applyFill="1" applyAlignment="1">
      <alignment horizontal="center" vertical="center" wrapText="1"/>
    </xf>
    <xf numFmtId="0" fontId="7" fillId="3" borderId="0" xfId="0" applyFont="1" applyFill="1" applyAlignment="1">
      <alignment horizontal="center"/>
    </xf>
    <xf numFmtId="9" fontId="0" fillId="3" borderId="0" xfId="2220" applyFont="1" applyFill="1" applyAlignment="1">
      <alignment horizontal="center"/>
    </xf>
    <xf numFmtId="169" fontId="40" fillId="3" borderId="0" xfId="16" applyNumberFormat="1" applyFont="1" applyFill="1"/>
    <xf numFmtId="9" fontId="40" fillId="3" borderId="0" xfId="2220" applyFont="1" applyFill="1" applyAlignment="1">
      <alignment horizontal="center"/>
    </xf>
    <xf numFmtId="0" fontId="7" fillId="3" borderId="110" xfId="0" applyFont="1" applyFill="1" applyBorder="1" applyAlignment="1">
      <alignment horizontal="left" vertical="center"/>
    </xf>
    <xf numFmtId="0" fontId="7" fillId="3" borderId="111" xfId="0" applyFont="1" applyFill="1" applyBorder="1" applyAlignment="1">
      <alignment horizontal="center" vertical="center"/>
    </xf>
    <xf numFmtId="0" fontId="7" fillId="3" borderId="112" xfId="0" applyFont="1" applyFill="1" applyBorder="1" applyAlignment="1">
      <alignment horizontal="center" vertical="center"/>
    </xf>
    <xf numFmtId="0" fontId="0" fillId="3" borderId="113" xfId="0" applyFill="1" applyBorder="1"/>
    <xf numFmtId="10" fontId="0" fillId="3" borderId="114" xfId="2220" applyNumberFormat="1" applyFont="1" applyFill="1" applyBorder="1" applyAlignment="1">
      <alignment horizontal="center"/>
    </xf>
    <xf numFmtId="10" fontId="0" fillId="3" borderId="115" xfId="2220" applyNumberFormat="1" applyFont="1" applyFill="1" applyBorder="1" applyAlignment="1">
      <alignment horizontal="center"/>
    </xf>
    <xf numFmtId="0" fontId="24" fillId="3" borderId="113" xfId="0" applyFont="1" applyFill="1" applyBorder="1"/>
    <xf numFmtId="10" fontId="24" fillId="3" borderId="115" xfId="2220" applyNumberFormat="1" applyFont="1" applyFill="1" applyBorder="1" applyAlignment="1">
      <alignment horizontal="center"/>
    </xf>
    <xf numFmtId="0" fontId="24" fillId="21" borderId="113" xfId="0" applyFont="1" applyFill="1" applyBorder="1"/>
    <xf numFmtId="10" fontId="24" fillId="21" borderId="115" xfId="2220" applyNumberFormat="1" applyFont="1" applyFill="1" applyBorder="1" applyAlignment="1">
      <alignment horizontal="center"/>
    </xf>
    <xf numFmtId="0" fontId="7" fillId="3" borderId="116" xfId="0" applyFont="1" applyFill="1" applyBorder="1" applyAlignment="1">
      <alignment vertical="center"/>
    </xf>
    <xf numFmtId="10" fontId="7" fillId="3" borderId="117" xfId="0" applyNumberFormat="1" applyFont="1" applyFill="1" applyBorder="1" applyAlignment="1">
      <alignment horizontal="center" vertical="center"/>
    </xf>
    <xf numFmtId="166" fontId="7" fillId="3" borderId="0" xfId="0" applyNumberFormat="1" applyFont="1" applyFill="1" applyAlignment="1">
      <alignment horizontal="left" vertical="center"/>
    </xf>
    <xf numFmtId="185" fontId="0" fillId="3" borderId="0" xfId="2220" applyNumberFormat="1" applyFont="1" applyFill="1"/>
    <xf numFmtId="185" fontId="0" fillId="3" borderId="0" xfId="16" applyNumberFormat="1" applyFont="1" applyFill="1"/>
    <xf numFmtId="10" fontId="0" fillId="3" borderId="0" xfId="2220" applyNumberFormat="1" applyFont="1" applyFill="1" applyAlignment="1">
      <alignment horizontal="right"/>
    </xf>
    <xf numFmtId="44" fontId="20" fillId="3" borderId="118" xfId="16" applyNumberFormat="1" applyFont="1" applyFill="1" applyBorder="1"/>
    <xf numFmtId="44" fontId="0" fillId="3" borderId="118" xfId="16" applyNumberFormat="1" applyFont="1" applyFill="1" applyBorder="1"/>
    <xf numFmtId="44" fontId="20" fillId="3" borderId="87" xfId="16" applyNumberFormat="1" applyFont="1" applyFill="1" applyBorder="1"/>
    <xf numFmtId="44" fontId="0" fillId="3" borderId="87" xfId="16" applyNumberFormat="1" applyFont="1" applyFill="1" applyBorder="1"/>
    <xf numFmtId="44" fontId="24" fillId="3" borderId="87" xfId="16" applyNumberFormat="1" applyFont="1" applyFill="1" applyBorder="1"/>
    <xf numFmtId="44" fontId="24" fillId="3" borderId="87" xfId="0" applyNumberFormat="1" applyFont="1" applyFill="1" applyBorder="1"/>
    <xf numFmtId="44" fontId="7" fillId="3" borderId="119" xfId="16" applyNumberFormat="1" applyFont="1" applyFill="1" applyBorder="1" applyAlignment="1">
      <alignment vertical="center"/>
    </xf>
    <xf numFmtId="44" fontId="7" fillId="3" borderId="119" xfId="0" applyNumberFormat="1" applyFont="1" applyFill="1" applyBorder="1" applyAlignment="1">
      <alignment vertical="center"/>
    </xf>
    <xf numFmtId="44" fontId="0" fillId="3" borderId="118" xfId="16" applyFont="1" applyFill="1" applyBorder="1"/>
    <xf numFmtId="44" fontId="0" fillId="3" borderId="87" xfId="16" applyFont="1" applyFill="1" applyBorder="1"/>
    <xf numFmtId="44" fontId="24" fillId="21" borderId="87" xfId="16" applyFont="1" applyFill="1" applyBorder="1"/>
    <xf numFmtId="44" fontId="7" fillId="3" borderId="119" xfId="16" applyFont="1" applyFill="1" applyBorder="1" applyAlignment="1">
      <alignment vertical="center"/>
    </xf>
    <xf numFmtId="44" fontId="20" fillId="3" borderId="118" xfId="0" applyNumberFormat="1" applyFont="1" applyFill="1" applyBorder="1"/>
    <xf numFmtId="0" fontId="7" fillId="3" borderId="0" xfId="0" applyFont="1" applyFill="1" applyAlignment="1">
      <alignment horizontal="center" vertical="center"/>
    </xf>
    <xf numFmtId="0" fontId="7" fillId="3" borderId="0" xfId="0" applyFont="1" applyFill="1" applyAlignment="1">
      <alignment horizontal="center"/>
    </xf>
    <xf numFmtId="2" fontId="62" fillId="4" borderId="0" xfId="0" applyNumberFormat="1" applyFont="1" applyFill="1" applyBorder="1" applyAlignment="1">
      <alignment horizontal="center"/>
    </xf>
    <xf numFmtId="172" fontId="17" fillId="3" borderId="0" xfId="0" applyNumberFormat="1" applyFont="1" applyFill="1" applyBorder="1" applyAlignment="1">
      <alignment horizontal="center" vertical="center"/>
    </xf>
    <xf numFmtId="172" fontId="17" fillId="3" borderId="0" xfId="0" applyNumberFormat="1" applyFont="1" applyFill="1" applyBorder="1" applyAlignment="1">
      <alignment horizontal="center"/>
    </xf>
    <xf numFmtId="172" fontId="100" fillId="3" borderId="120" xfId="0" applyNumberFormat="1" applyFont="1" applyFill="1" applyBorder="1" applyAlignment="1">
      <alignment horizontal="center" vertical="center"/>
    </xf>
    <xf numFmtId="172" fontId="100" fillId="3" borderId="121" xfId="0" applyNumberFormat="1" applyFont="1" applyFill="1" applyBorder="1" applyAlignment="1">
      <alignment horizontal="center" vertical="center"/>
    </xf>
    <xf numFmtId="172" fontId="100" fillId="3" borderId="122" xfId="0" applyNumberFormat="1" applyFont="1" applyFill="1" applyBorder="1" applyAlignment="1">
      <alignment horizontal="center" vertical="center"/>
    </xf>
    <xf numFmtId="172" fontId="100" fillId="3" borderId="123" xfId="0" applyNumberFormat="1" applyFont="1" applyFill="1" applyBorder="1" applyAlignment="1">
      <alignment horizontal="center"/>
    </xf>
    <xf numFmtId="0" fontId="101" fillId="3" borderId="5" xfId="0" applyFont="1" applyFill="1" applyBorder="1" applyAlignment="1">
      <alignment horizontal="center"/>
    </xf>
    <xf numFmtId="171" fontId="40" fillId="3" borderId="5" xfId="0" applyNumberFormat="1" applyFont="1" applyFill="1" applyBorder="1"/>
    <xf numFmtId="9" fontId="20" fillId="3" borderId="0" xfId="0" applyNumberFormat="1" applyFont="1" applyFill="1" applyBorder="1" applyAlignment="1">
      <alignment horizontal="center"/>
    </xf>
    <xf numFmtId="172" fontId="16" fillId="17" borderId="0" xfId="0" applyNumberFormat="1" applyFont="1" applyFill="1" applyAlignment="1">
      <alignment horizontal="center" vertical="center"/>
    </xf>
    <xf numFmtId="178" fontId="96" fillId="16" borderId="0" xfId="0" applyNumberFormat="1" applyFont="1" applyFill="1" applyAlignment="1">
      <alignment horizontal="center"/>
    </xf>
    <xf numFmtId="178" fontId="96" fillId="16" borderId="0" xfId="0" applyNumberFormat="1" applyFont="1" applyFill="1" applyAlignment="1">
      <alignment horizontal="center" vertical="center"/>
    </xf>
    <xf numFmtId="178" fontId="0" fillId="16" borderId="0" xfId="0" applyNumberFormat="1" applyFont="1" applyFill="1" applyAlignment="1">
      <alignment horizontal="center" vertical="center"/>
    </xf>
    <xf numFmtId="178" fontId="103" fillId="16" borderId="80" xfId="0" applyNumberFormat="1" applyFont="1" applyFill="1" applyBorder="1" applyAlignment="1">
      <alignment horizontal="center" vertical="center"/>
    </xf>
    <xf numFmtId="172" fontId="17" fillId="17" borderId="80" xfId="0" applyNumberFormat="1" applyFont="1" applyFill="1" applyBorder="1" applyAlignment="1">
      <alignment horizontal="center" vertical="center"/>
    </xf>
    <xf numFmtId="172" fontId="17" fillId="17" borderId="124" xfId="0" applyNumberFormat="1" applyFont="1" applyFill="1" applyBorder="1" applyAlignment="1">
      <alignment horizontal="center" vertical="center"/>
    </xf>
    <xf numFmtId="172" fontId="16" fillId="17" borderId="0" xfId="0" applyNumberFormat="1" applyFont="1" applyFill="1" applyBorder="1" applyAlignment="1">
      <alignment horizontal="center" vertical="center"/>
    </xf>
    <xf numFmtId="178" fontId="96" fillId="16" borderId="0" xfId="0" applyNumberFormat="1" applyFont="1" applyFill="1" applyBorder="1" applyAlignment="1">
      <alignment horizontal="center"/>
    </xf>
    <xf numFmtId="178" fontId="0" fillId="16" borderId="0" xfId="0" applyNumberFormat="1" applyFont="1" applyFill="1" applyBorder="1" applyAlignment="1">
      <alignment horizontal="center" vertical="center"/>
    </xf>
    <xf numFmtId="178" fontId="0" fillId="16" borderId="11" xfId="0" applyNumberFormat="1" applyFont="1" applyFill="1" applyBorder="1" applyAlignment="1">
      <alignment horizontal="center" vertical="center"/>
    </xf>
    <xf numFmtId="172" fontId="16" fillId="17" borderId="11" xfId="0" applyNumberFormat="1" applyFont="1" applyFill="1" applyBorder="1" applyAlignment="1">
      <alignment horizontal="center" vertical="center"/>
    </xf>
    <xf numFmtId="0" fontId="77" fillId="17" borderId="125" xfId="0" applyFont="1" applyFill="1" applyBorder="1" applyAlignment="1">
      <alignment horizontal="center" vertical="center"/>
    </xf>
    <xf numFmtId="172" fontId="16" fillId="17" borderId="126" xfId="0" applyNumberFormat="1" applyFont="1" applyFill="1" applyBorder="1" applyAlignment="1">
      <alignment horizontal="center" vertical="center"/>
    </xf>
    <xf numFmtId="172" fontId="16" fillId="17" borderId="127" xfId="0" applyNumberFormat="1" applyFont="1" applyFill="1" applyBorder="1" applyAlignment="1">
      <alignment horizontal="center" vertical="center"/>
    </xf>
    <xf numFmtId="0" fontId="104" fillId="3" borderId="0" xfId="0" applyFont="1" applyFill="1"/>
    <xf numFmtId="0" fontId="105" fillId="17" borderId="78" xfId="0" applyFont="1" applyFill="1" applyBorder="1" applyAlignment="1">
      <alignment horizontal="center"/>
    </xf>
    <xf numFmtId="166" fontId="40" fillId="3" borderId="0" xfId="0" applyNumberFormat="1" applyFont="1" applyFill="1" applyBorder="1" applyAlignment="1">
      <alignment horizontal="center" vertical="center"/>
    </xf>
    <xf numFmtId="0" fontId="20" fillId="3" borderId="0" xfId="0" applyFont="1" applyFill="1" applyBorder="1" applyAlignment="1">
      <alignment horizontal="center"/>
    </xf>
    <xf numFmtId="166" fontId="0" fillId="3" borderId="0" xfId="0" applyNumberFormat="1" applyFont="1" applyFill="1" applyBorder="1" applyAlignment="1">
      <alignment horizontal="center"/>
    </xf>
    <xf numFmtId="0" fontId="0" fillId="3" borderId="128" xfId="0" applyFill="1" applyBorder="1"/>
    <xf numFmtId="0" fontId="3" fillId="3" borderId="0" xfId="2189" applyFill="1" applyBorder="1" applyAlignment="1">
      <alignment horizontal="left" vertical="center" wrapText="1"/>
    </xf>
    <xf numFmtId="0" fontId="0" fillId="3" borderId="0" xfId="0" applyFill="1" applyBorder="1" applyAlignment="1">
      <alignment vertical="center" wrapText="1"/>
    </xf>
    <xf numFmtId="0" fontId="0" fillId="3" borderId="63" xfId="0" applyFill="1" applyBorder="1" applyAlignment="1">
      <alignment vertical="center" wrapText="1"/>
    </xf>
    <xf numFmtId="0" fontId="0" fillId="3" borderId="63" xfId="0" applyFill="1" applyBorder="1"/>
    <xf numFmtId="0" fontId="92" fillId="3" borderId="0" xfId="0" applyFont="1" applyFill="1" applyBorder="1" applyAlignment="1">
      <alignment horizontal="left" vertical="center" wrapText="1"/>
    </xf>
    <xf numFmtId="0" fontId="17" fillId="3" borderId="0" xfId="0" applyFont="1" applyFill="1" applyBorder="1" applyAlignment="1">
      <alignment horizontal="center" vertical="center" wrapText="1"/>
    </xf>
    <xf numFmtId="172" fontId="62" fillId="4" borderId="0" xfId="0" applyNumberFormat="1" applyFont="1" applyFill="1" applyBorder="1" applyAlignment="1">
      <alignment horizontal="center"/>
    </xf>
    <xf numFmtId="171" fontId="0" fillId="3" borderId="0" xfId="0" applyNumberFormat="1" applyFill="1" applyBorder="1"/>
    <xf numFmtId="0" fontId="7" fillId="3" borderId="128" xfId="0" applyFont="1" applyFill="1" applyBorder="1" applyAlignment="1">
      <alignment vertical="center"/>
    </xf>
    <xf numFmtId="0" fontId="0" fillId="3" borderId="0" xfId="0" applyFill="1" applyBorder="1" applyAlignment="1">
      <alignment horizontal="center" vertical="center"/>
    </xf>
    <xf numFmtId="0" fontId="0" fillId="3" borderId="128" xfId="0" applyFill="1" applyBorder="1" applyAlignment="1">
      <alignment vertical="center"/>
    </xf>
    <xf numFmtId="0" fontId="0" fillId="3" borderId="0" xfId="0" applyFill="1" applyBorder="1" applyAlignment="1">
      <alignment horizontal="center"/>
    </xf>
    <xf numFmtId="171" fontId="0" fillId="3" borderId="0" xfId="16" applyNumberFormat="1" applyFont="1" applyFill="1" applyBorder="1" applyAlignment="1">
      <alignment vertical="center"/>
    </xf>
    <xf numFmtId="0" fontId="0" fillId="3" borderId="63" xfId="0" applyFill="1" applyBorder="1" applyAlignment="1">
      <alignment vertical="center"/>
    </xf>
    <xf numFmtId="9" fontId="0" fillId="3" borderId="0" xfId="0" applyNumberFormat="1" applyFill="1" applyBorder="1" applyAlignment="1">
      <alignment horizontal="center"/>
    </xf>
    <xf numFmtId="0" fontId="40" fillId="3" borderId="0" xfId="0" applyFont="1" applyFill="1" applyBorder="1" applyAlignment="1">
      <alignment horizontal="center"/>
    </xf>
    <xf numFmtId="0" fontId="25" fillId="3" borderId="0" xfId="0" applyFont="1" applyFill="1" applyBorder="1" applyAlignment="1">
      <alignment horizontal="left"/>
    </xf>
    <xf numFmtId="0" fontId="7" fillId="3" borderId="0" xfId="0" applyFont="1" applyFill="1" applyBorder="1" applyAlignment="1">
      <alignment vertical="center"/>
    </xf>
    <xf numFmtId="0" fontId="97" fillId="3" borderId="0" xfId="0" applyFont="1" applyFill="1" applyBorder="1" applyAlignment="1">
      <alignment horizontal="center"/>
    </xf>
    <xf numFmtId="0" fontId="96" fillId="3" borderId="0" xfId="0" applyFont="1" applyFill="1" applyBorder="1"/>
    <xf numFmtId="0" fontId="97" fillId="3" borderId="0" xfId="0" applyFont="1" applyFill="1" applyBorder="1"/>
    <xf numFmtId="0" fontId="63" fillId="3" borderId="0" xfId="0" applyFont="1" applyFill="1" applyBorder="1"/>
    <xf numFmtId="0" fontId="0" fillId="3" borderId="0" xfId="0" applyFill="1" applyBorder="1" applyAlignment="1">
      <alignment horizontal="left" vertical="center"/>
    </xf>
    <xf numFmtId="0" fontId="63" fillId="3" borderId="0" xfId="0" applyFont="1" applyFill="1" applyBorder="1" applyAlignment="1">
      <alignment horizontal="center"/>
    </xf>
    <xf numFmtId="0" fontId="96" fillId="3" borderId="0" xfId="0" applyFont="1" applyFill="1" applyBorder="1" applyAlignment="1">
      <alignment horizontal="center"/>
    </xf>
    <xf numFmtId="0" fontId="63" fillId="3" borderId="0" xfId="0" applyFont="1" applyFill="1" applyBorder="1" applyAlignment="1">
      <alignment vertical="center"/>
    </xf>
    <xf numFmtId="9" fontId="7" fillId="3" borderId="129" xfId="0" applyNumberFormat="1" applyFont="1" applyFill="1" applyBorder="1" applyAlignment="1">
      <alignment horizontal="center" vertical="center"/>
    </xf>
    <xf numFmtId="0" fontId="7" fillId="3" borderId="0" xfId="0" applyFont="1" applyFill="1" applyBorder="1" applyAlignment="1">
      <alignment vertical="center" textRotation="90"/>
    </xf>
    <xf numFmtId="0" fontId="102" fillId="3" borderId="128" xfId="2189" applyFont="1" applyFill="1" applyBorder="1"/>
    <xf numFmtId="172" fontId="7" fillId="3" borderId="0" xfId="0" applyNumberFormat="1" applyFont="1" applyFill="1" applyBorder="1" applyAlignment="1">
      <alignment horizontal="center"/>
    </xf>
    <xf numFmtId="0" fontId="93" fillId="3" borderId="128" xfId="2189" applyFont="1" applyFill="1" applyBorder="1"/>
    <xf numFmtId="0" fontId="0" fillId="3" borderId="128" xfId="0" applyFill="1" applyBorder="1" applyAlignment="1">
      <alignment horizontal="left" vertical="center"/>
    </xf>
    <xf numFmtId="166" fontId="0" fillId="3" borderId="0" xfId="0" applyNumberFormat="1" applyFill="1" applyBorder="1" applyAlignment="1">
      <alignment horizontal="center" vertical="center"/>
    </xf>
    <xf numFmtId="0" fontId="40" fillId="3" borderId="128" xfId="0" applyFont="1" applyFill="1" applyBorder="1" applyAlignment="1">
      <alignment horizontal="left" vertical="center"/>
    </xf>
    <xf numFmtId="171" fontId="0" fillId="3" borderId="0" xfId="0" applyNumberFormat="1" applyFill="1" applyBorder="1" applyAlignment="1">
      <alignment vertical="center"/>
    </xf>
    <xf numFmtId="9" fontId="36" fillId="3" borderId="0" xfId="18" applyNumberFormat="1" applyFont="1" applyFill="1" applyBorder="1" applyAlignment="1">
      <alignment horizontal="center" vertical="center"/>
    </xf>
    <xf numFmtId="175" fontId="0" fillId="3" borderId="0" xfId="0" applyNumberFormat="1" applyFill="1" applyBorder="1" applyAlignment="1">
      <alignment horizontal="left" vertical="center"/>
    </xf>
    <xf numFmtId="0" fontId="0" fillId="3" borderId="0" xfId="0" applyNumberFormat="1" applyFill="1" applyBorder="1" applyAlignment="1">
      <alignment horizontal="left" vertical="center"/>
    </xf>
    <xf numFmtId="0" fontId="7" fillId="3" borderId="128" xfId="0" applyFont="1" applyFill="1" applyBorder="1" applyAlignment="1">
      <alignment horizontal="left" vertical="center"/>
    </xf>
    <xf numFmtId="2" fontId="7" fillId="3" borderId="0" xfId="0" applyNumberFormat="1" applyFont="1" applyFill="1" applyBorder="1" applyAlignment="1">
      <alignment horizontal="center" vertical="center"/>
    </xf>
    <xf numFmtId="0" fontId="0" fillId="3" borderId="0" xfId="0" applyFill="1" applyBorder="1" applyAlignment="1" quotePrefix="1">
      <alignment vertical="center"/>
    </xf>
    <xf numFmtId="0" fontId="92" fillId="3" borderId="128" xfId="0" applyFont="1" applyFill="1" applyBorder="1" applyAlignment="1">
      <alignment horizontal="left" vertical="center" wrapText="1"/>
    </xf>
    <xf numFmtId="10" fontId="20" fillId="3" borderId="0" xfId="0" applyNumberFormat="1" applyFont="1" applyFill="1" applyBorder="1" applyAlignment="1">
      <alignment horizontal="center" vertical="center"/>
    </xf>
    <xf numFmtId="2" fontId="62" fillId="3" borderId="0" xfId="2220" applyNumberFormat="1" applyFont="1" applyFill="1" applyBorder="1" applyAlignment="1">
      <alignment horizontal="center"/>
    </xf>
    <xf numFmtId="0" fontId="0" fillId="3" borderId="128" xfId="0" applyFill="1" applyBorder="1" applyAlignment="1">
      <alignment vertical="center" wrapText="1"/>
    </xf>
    <xf numFmtId="2" fontId="0" fillId="3" borderId="0" xfId="0" applyNumberFormat="1" applyFill="1" applyBorder="1" applyAlignment="1">
      <alignment horizontal="center" vertical="center"/>
    </xf>
    <xf numFmtId="10" fontId="7" fillId="3" borderId="0" xfId="2220" applyNumberFormat="1" applyFont="1" applyFill="1" applyBorder="1" applyAlignment="1">
      <alignment horizontal="center" vertical="center"/>
    </xf>
    <xf numFmtId="0" fontId="7" fillId="3" borderId="128" xfId="0" applyFont="1" applyFill="1" applyBorder="1"/>
    <xf numFmtId="9" fontId="7" fillId="3" borderId="63" xfId="0" applyNumberFormat="1" applyFont="1" applyFill="1" applyBorder="1"/>
    <xf numFmtId="0" fontId="40" fillId="3" borderId="128" xfId="0" applyFont="1" applyFill="1" applyBorder="1"/>
    <xf numFmtId="164" fontId="94" fillId="3" borderId="0" xfId="18" applyFont="1" applyFill="1" applyBorder="1" applyAlignment="1" quotePrefix="1">
      <alignment vertical="center"/>
    </xf>
    <xf numFmtId="171" fontId="0" fillId="3" borderId="0" xfId="0" applyNumberFormat="1" applyFill="1" applyBorder="1" applyAlignment="1" quotePrefix="1">
      <alignment vertical="center"/>
    </xf>
    <xf numFmtId="0" fontId="0" fillId="3" borderId="130" xfId="0" applyFont="1" applyFill="1" applyBorder="1"/>
    <xf numFmtId="0" fontId="0" fillId="3" borderId="131" xfId="0" applyFill="1" applyBorder="1"/>
    <xf numFmtId="0" fontId="7" fillId="3" borderId="131" xfId="0" applyFont="1" applyFill="1" applyBorder="1" applyAlignment="1">
      <alignment vertical="center" textRotation="90"/>
    </xf>
    <xf numFmtId="0" fontId="7" fillId="3" borderId="64" xfId="0" applyFont="1" applyFill="1" applyBorder="1" applyAlignment="1">
      <alignment vertical="center" textRotation="90"/>
    </xf>
    <xf numFmtId="0" fontId="0" fillId="3" borderId="63" xfId="0" applyFill="1" applyBorder="1" applyAlignment="1">
      <alignment horizontal="left" vertical="center" wrapText="1"/>
    </xf>
    <xf numFmtId="10" fontId="85" fillId="3" borderId="0" xfId="18" applyNumberFormat="1" applyFont="1" applyFill="1" applyBorder="1" applyAlignment="1">
      <alignment horizontal="center" vertical="center" wrapText="1"/>
    </xf>
    <xf numFmtId="10" fontId="85" fillId="3" borderId="23" xfId="18" applyNumberFormat="1" applyFont="1" applyFill="1" applyBorder="1" applyAlignment="1">
      <alignment horizontal="center" vertical="center" wrapText="1"/>
    </xf>
    <xf numFmtId="0" fontId="21" fillId="3" borderId="23" xfId="16" applyNumberFormat="1" applyFont="1" applyFill="1" applyBorder="1" applyAlignment="1">
      <alignment horizontal="center" vertical="center" wrapText="1"/>
    </xf>
    <xf numFmtId="1" fontId="21" fillId="3" borderId="0" xfId="16" applyNumberFormat="1" applyFont="1" applyFill="1" applyBorder="1" applyAlignment="1">
      <alignment horizontal="center" vertical="center" wrapText="1"/>
    </xf>
    <xf numFmtId="166" fontId="85" fillId="3" borderId="0" xfId="18" applyNumberFormat="1" applyFont="1" applyFill="1" applyBorder="1" applyAlignment="1">
      <alignment horizontal="center" vertical="center" wrapText="1"/>
    </xf>
    <xf numFmtId="166" fontId="85" fillId="3" borderId="23" xfId="18" applyNumberFormat="1" applyFont="1" applyFill="1" applyBorder="1" applyAlignment="1">
      <alignment horizontal="center" vertical="center" wrapText="1"/>
    </xf>
    <xf numFmtId="175" fontId="6" fillId="3" borderId="23" xfId="0" applyNumberFormat="1" applyFont="1" applyFill="1" applyBorder="1" applyAlignment="1">
      <alignment horizontal="center" vertical="center"/>
    </xf>
    <xf numFmtId="175" fontId="6" fillId="3" borderId="0" xfId="0" applyNumberFormat="1" applyFont="1" applyFill="1" applyBorder="1" applyAlignment="1">
      <alignment horizontal="center" vertical="center"/>
    </xf>
    <xf numFmtId="175" fontId="85" fillId="3" borderId="13" xfId="18" applyNumberFormat="1" applyFont="1" applyFill="1" applyBorder="1" applyAlignment="1">
      <alignment horizontal="center" vertical="center" wrapText="1"/>
    </xf>
    <xf numFmtId="175" fontId="21" fillId="3" borderId="23" xfId="0" applyNumberFormat="1" applyFont="1" applyFill="1" applyBorder="1" applyAlignment="1">
      <alignment horizontal="center" vertical="center"/>
    </xf>
    <xf numFmtId="9" fontId="21" fillId="3" borderId="23" xfId="15" applyFont="1" applyFill="1" applyBorder="1" applyAlignment="1">
      <alignment horizontal="center" vertical="center"/>
    </xf>
    <xf numFmtId="10" fontId="85" fillId="3" borderId="13" xfId="18" applyNumberFormat="1" applyFont="1" applyFill="1" applyBorder="1" applyAlignment="1">
      <alignment horizontal="center" vertical="center" wrapText="1"/>
    </xf>
    <xf numFmtId="10" fontId="6" fillId="3" borderId="23" xfId="18" applyNumberFormat="1" applyFont="1" applyFill="1" applyBorder="1" applyAlignment="1">
      <alignment horizontal="center" vertical="center" wrapText="1"/>
    </xf>
    <xf numFmtId="10" fontId="6" fillId="3" borderId="0" xfId="18" applyNumberFormat="1" applyFont="1" applyFill="1" applyBorder="1" applyAlignment="1">
      <alignment horizontal="center" vertical="center" wrapText="1"/>
    </xf>
    <xf numFmtId="0" fontId="6" fillId="3" borderId="18" xfId="0" applyFont="1" applyFill="1" applyBorder="1" applyAlignment="1">
      <alignment vertical="center"/>
    </xf>
    <xf numFmtId="9" fontId="21" fillId="3" borderId="18" xfId="15" applyFont="1" applyFill="1" applyBorder="1" applyAlignment="1">
      <alignment horizontal="center" vertical="center"/>
    </xf>
    <xf numFmtId="10" fontId="85" fillId="3" borderId="19" xfId="18" applyNumberFormat="1" applyFont="1" applyFill="1" applyBorder="1" applyAlignment="1">
      <alignment horizontal="center" vertical="center" wrapText="1"/>
    </xf>
    <xf numFmtId="10" fontId="6" fillId="3" borderId="18" xfId="18" applyNumberFormat="1" applyFont="1" applyFill="1" applyBorder="1" applyAlignment="1">
      <alignment horizontal="center" vertical="center" wrapText="1"/>
    </xf>
    <xf numFmtId="10" fontId="6" fillId="3" borderId="20" xfId="18" applyNumberFormat="1" applyFont="1" applyFill="1" applyBorder="1" applyAlignment="1">
      <alignment horizontal="center" vertical="center" wrapText="1"/>
    </xf>
    <xf numFmtId="168" fontId="6" fillId="4" borderId="1" xfId="0" applyNumberFormat="1" applyFont="1" applyFill="1" applyBorder="1" applyAlignment="1" applyProtection="1">
      <alignment horizontal="right" vertical="center" wrapText="1"/>
      <protection locked="0"/>
    </xf>
    <xf numFmtId="169" fontId="21" fillId="3" borderId="21" xfId="16" applyNumberFormat="1" applyFont="1" applyFill="1" applyBorder="1" applyAlignment="1">
      <alignment horizontal="right" vertical="center" wrapText="1"/>
    </xf>
    <xf numFmtId="166" fontId="85" fillId="3" borderId="0" xfId="16" applyNumberFormat="1" applyFont="1" applyFill="1" applyBorder="1" applyAlignment="1">
      <alignment horizontal="center" vertical="center" wrapText="1"/>
    </xf>
    <xf numFmtId="166" fontId="85" fillId="3" borderId="23" xfId="16" applyNumberFormat="1" applyFont="1" applyFill="1" applyBorder="1" applyAlignment="1">
      <alignment horizontal="center" vertical="center" wrapText="1"/>
    </xf>
    <xf numFmtId="166" fontId="21" fillId="3" borderId="23" xfId="0" applyNumberFormat="1" applyFont="1" applyFill="1" applyBorder="1" applyAlignment="1">
      <alignment horizontal="center" vertical="center"/>
    </xf>
    <xf numFmtId="166" fontId="21" fillId="3" borderId="23" xfId="0" applyNumberFormat="1" applyFont="1" applyFill="1" applyBorder="1" applyAlignment="1">
      <alignment horizontal="center" vertical="center" wrapText="1"/>
    </xf>
    <xf numFmtId="0" fontId="6" fillId="3" borderId="22" xfId="0" applyFont="1" applyFill="1" applyBorder="1" applyAlignment="1">
      <alignment vertical="center"/>
    </xf>
    <xf numFmtId="166" fontId="21" fillId="3" borderId="15" xfId="18" applyNumberFormat="1" applyFont="1" applyFill="1" applyBorder="1" applyAlignment="1">
      <alignment horizontal="center" vertical="center" wrapText="1"/>
    </xf>
    <xf numFmtId="166" fontId="6" fillId="3" borderId="22" xfId="18" applyNumberFormat="1" applyFont="1" applyFill="1" applyBorder="1" applyAlignment="1">
      <alignment horizontal="center" vertical="center" wrapText="1"/>
    </xf>
    <xf numFmtId="166" fontId="6" fillId="3" borderId="16" xfId="18" applyNumberFormat="1" applyFont="1" applyFill="1" applyBorder="1" applyAlignment="1">
      <alignment horizontal="center" vertical="center" wrapText="1"/>
    </xf>
    <xf numFmtId="167" fontId="66" fillId="3" borderId="22" xfId="15" applyNumberFormat="1" applyFont="1" applyFill="1" applyBorder="1" applyAlignment="1">
      <alignment horizontal="center" vertical="center"/>
    </xf>
    <xf numFmtId="166" fontId="85" fillId="3" borderId="13" xfId="18" applyNumberFormat="1" applyFont="1" applyFill="1" applyBorder="1" applyAlignment="1">
      <alignment horizontal="center" vertical="center" wrapText="1"/>
    </xf>
    <xf numFmtId="1" fontId="21" fillId="3" borderId="13" xfId="18" applyNumberFormat="1" applyFont="1" applyFill="1" applyBorder="1" applyAlignment="1">
      <alignment horizontal="center" vertical="center" wrapText="1"/>
    </xf>
    <xf numFmtId="166" fontId="85" fillId="3" borderId="13" xfId="0" applyNumberFormat="1" applyFont="1" applyFill="1" applyBorder="1" applyAlignment="1">
      <alignment horizontal="center" vertical="center" wrapText="1"/>
    </xf>
    <xf numFmtId="166" fontId="85" fillId="3" borderId="23" xfId="0" applyNumberFormat="1" applyFont="1" applyFill="1" applyBorder="1" applyAlignment="1">
      <alignment horizontal="center" vertical="center" wrapText="1"/>
    </xf>
    <xf numFmtId="166" fontId="85" fillId="3" borderId="0" xfId="0" applyNumberFormat="1" applyFont="1" applyFill="1" applyBorder="1" applyAlignment="1">
      <alignment horizontal="center" vertical="center" wrapText="1"/>
    </xf>
    <xf numFmtId="1" fontId="6" fillId="3" borderId="18" xfId="18" applyNumberFormat="1" applyFont="1" applyFill="1" applyBorder="1" applyAlignment="1">
      <alignment horizontal="center" vertical="center" wrapText="1"/>
    </xf>
    <xf numFmtId="166" fontId="21" fillId="3" borderId="18" xfId="18" applyNumberFormat="1" applyFont="1" applyFill="1" applyBorder="1" applyAlignment="1">
      <alignment horizontal="center" vertical="center" wrapText="1"/>
    </xf>
    <xf numFmtId="0" fontId="6" fillId="3" borderId="22" xfId="0" applyFont="1" applyFill="1" applyBorder="1" applyAlignment="1">
      <alignment horizontal="left" vertical="center" wrapText="1"/>
    </xf>
    <xf numFmtId="1" fontId="21" fillId="3" borderId="16" xfId="18" applyNumberFormat="1" applyFont="1" applyFill="1" applyBorder="1" applyAlignment="1">
      <alignment horizontal="center" vertical="center" wrapText="1"/>
    </xf>
    <xf numFmtId="166" fontId="6" fillId="3" borderId="22" xfId="16" applyNumberFormat="1" applyFont="1" applyFill="1" applyBorder="1" applyAlignment="1">
      <alignment horizontal="center" vertical="center" wrapText="1"/>
    </xf>
    <xf numFmtId="166" fontId="6" fillId="3" borderId="16" xfId="16" applyNumberFormat="1" applyFont="1" applyFill="1" applyBorder="1" applyAlignment="1">
      <alignment horizontal="center" vertical="center" wrapText="1"/>
    </xf>
    <xf numFmtId="9" fontId="66" fillId="3" borderId="22" xfId="15" applyNumberFormat="1" applyFont="1" applyFill="1" applyBorder="1" applyAlignment="1">
      <alignment horizontal="center" vertical="center"/>
    </xf>
    <xf numFmtId="10" fontId="21" fillId="3" borderId="23" xfId="0" applyNumberFormat="1" applyFont="1" applyFill="1" applyBorder="1" applyAlignment="1">
      <alignment horizontal="center" vertical="center"/>
    </xf>
    <xf numFmtId="166" fontId="21" fillId="3" borderId="22" xfId="0" applyNumberFormat="1" applyFont="1" applyFill="1" applyBorder="1" applyAlignment="1">
      <alignment horizontal="center" vertical="center"/>
    </xf>
    <xf numFmtId="166" fontId="21" fillId="3" borderId="18" xfId="16" applyNumberFormat="1" applyFont="1" applyFill="1" applyBorder="1" applyAlignment="1">
      <alignment horizontal="center" vertical="center" wrapText="1"/>
    </xf>
    <xf numFmtId="1" fontId="0" fillId="3" borderId="91" xfId="0" applyNumberFormat="1" applyFill="1" applyBorder="1"/>
    <xf numFmtId="1" fontId="0" fillId="3" borderId="132" xfId="0" applyNumberFormat="1" applyFill="1" applyBorder="1"/>
    <xf numFmtId="1" fontId="20" fillId="3" borderId="103" xfId="0" applyNumberFormat="1" applyFont="1" applyFill="1" applyBorder="1"/>
    <xf numFmtId="1" fontId="0" fillId="3" borderId="92" xfId="0" applyNumberFormat="1" applyFill="1" applyBorder="1"/>
    <xf numFmtId="1" fontId="20" fillId="3" borderId="91" xfId="0" applyNumberFormat="1" applyFont="1" applyFill="1" applyBorder="1"/>
    <xf numFmtId="1" fontId="20" fillId="3" borderId="132" xfId="0" applyNumberFormat="1" applyFont="1" applyFill="1" applyBorder="1"/>
    <xf numFmtId="166" fontId="32" fillId="3" borderId="94" xfId="18" applyNumberFormat="1" applyFont="1" applyFill="1" applyBorder="1" applyAlignment="1" applyProtection="1">
      <alignment vertical="center"/>
      <protection locked="0"/>
    </xf>
    <xf numFmtId="166" fontId="0" fillId="3" borderId="101" xfId="18" applyNumberFormat="1" applyFont="1" applyFill="1" applyBorder="1" applyAlignment="1">
      <alignment vertical="center"/>
    </xf>
    <xf numFmtId="166" fontId="0" fillId="3" borderId="101" xfId="15" applyNumberFormat="1" applyFont="1" applyFill="1" applyBorder="1" applyAlignment="1">
      <alignment vertical="center"/>
    </xf>
    <xf numFmtId="166" fontId="7" fillId="3" borderId="101" xfId="18" applyNumberFormat="1" applyFont="1" applyFill="1" applyBorder="1" applyAlignment="1">
      <alignment vertical="center"/>
    </xf>
    <xf numFmtId="166" fontId="20" fillId="3" borderId="94" xfId="0" applyNumberFormat="1" applyFont="1" applyFill="1" applyBorder="1"/>
    <xf numFmtId="166" fontId="0" fillId="3" borderId="94" xfId="0" applyNumberFormat="1" applyFill="1" applyBorder="1"/>
    <xf numFmtId="166" fontId="0" fillId="3" borderId="95" xfId="0" applyNumberFormat="1" applyFill="1" applyBorder="1"/>
    <xf numFmtId="1" fontId="20" fillId="3" borderId="94" xfId="0" applyNumberFormat="1" applyFont="1" applyFill="1" applyBorder="1"/>
    <xf numFmtId="1" fontId="20" fillId="3" borderId="96" xfId="0" applyNumberFormat="1" applyFont="1" applyFill="1" applyBorder="1"/>
    <xf numFmtId="1" fontId="20" fillId="3" borderId="133" xfId="0" applyNumberFormat="1" applyFont="1" applyFill="1" applyBorder="1"/>
    <xf numFmtId="175" fontId="32" fillId="3" borderId="133" xfId="18" applyNumberFormat="1" applyFont="1" applyFill="1" applyBorder="1" applyAlignment="1" applyProtection="1">
      <alignment vertical="center"/>
      <protection locked="0"/>
    </xf>
    <xf numFmtId="166" fontId="32" fillId="3" borderId="101" xfId="15" applyNumberFormat="1" applyFont="1" applyFill="1" applyBorder="1" applyAlignment="1">
      <alignment vertical="center"/>
    </xf>
    <xf numFmtId="166" fontId="32" fillId="3" borderId="104" xfId="15" applyNumberFormat="1" applyFont="1" applyFill="1" applyBorder="1" applyAlignment="1">
      <alignment vertical="center"/>
    </xf>
    <xf numFmtId="166" fontId="32" fillId="3" borderId="100" xfId="15" applyNumberFormat="1" applyFont="1" applyFill="1" applyBorder="1" applyAlignment="1">
      <alignment vertical="center"/>
    </xf>
    <xf numFmtId="166" fontId="32" fillId="3" borderId="102" xfId="15" applyNumberFormat="1" applyFont="1" applyFill="1" applyBorder="1" applyAlignment="1">
      <alignment vertical="center"/>
    </xf>
    <xf numFmtId="166" fontId="32" fillId="3" borderId="101" xfId="18" applyNumberFormat="1" applyFont="1" applyFill="1" applyBorder="1" applyAlignment="1">
      <alignment vertical="center"/>
    </xf>
    <xf numFmtId="1" fontId="32" fillId="3" borderId="101" xfId="18" applyNumberFormat="1" applyFont="1" applyFill="1" applyBorder="1" applyAlignment="1">
      <alignment vertical="center"/>
    </xf>
    <xf numFmtId="1" fontId="32" fillId="3" borderId="104" xfId="18" applyNumberFormat="1" applyFont="1" applyFill="1" applyBorder="1" applyAlignment="1">
      <alignment vertical="center"/>
    </xf>
    <xf numFmtId="1" fontId="32" fillId="3" borderId="100" xfId="18" applyNumberFormat="1" applyFont="1" applyFill="1" applyBorder="1" applyAlignment="1">
      <alignment vertical="center"/>
    </xf>
    <xf numFmtId="1" fontId="32" fillId="3" borderId="102" xfId="18" applyNumberFormat="1" applyFont="1" applyFill="1" applyBorder="1" applyAlignment="1">
      <alignment vertical="center"/>
    </xf>
    <xf numFmtId="166" fontId="32" fillId="3" borderId="104" xfId="18" applyNumberFormat="1" applyFont="1" applyFill="1" applyBorder="1" applyAlignment="1">
      <alignment vertical="center"/>
    </xf>
    <xf numFmtId="166" fontId="32" fillId="3" borderId="100" xfId="18" applyNumberFormat="1" applyFont="1" applyFill="1" applyBorder="1" applyAlignment="1">
      <alignment vertical="center"/>
    </xf>
    <xf numFmtId="166" fontId="32" fillId="3" borderId="102" xfId="18" applyNumberFormat="1" applyFont="1" applyFill="1" applyBorder="1" applyAlignment="1">
      <alignment vertical="center"/>
    </xf>
    <xf numFmtId="1" fontId="32" fillId="3" borderId="94" xfId="0" applyNumberFormat="1" applyFont="1" applyFill="1" applyBorder="1"/>
    <xf numFmtId="1" fontId="32" fillId="3" borderId="96" xfId="0" applyNumberFormat="1" applyFont="1" applyFill="1" applyBorder="1"/>
    <xf numFmtId="1" fontId="32" fillId="3" borderId="133" xfId="0" applyNumberFormat="1" applyFont="1" applyFill="1" applyBorder="1"/>
    <xf numFmtId="1" fontId="32" fillId="3" borderId="95" xfId="0" applyNumberFormat="1" applyFont="1" applyFill="1" applyBorder="1"/>
    <xf numFmtId="166" fontId="7" fillId="3" borderId="104" xfId="18" applyNumberFormat="1" applyFont="1" applyFill="1" applyBorder="1" applyAlignment="1">
      <alignment vertical="center"/>
    </xf>
    <xf numFmtId="166" fontId="7" fillId="3" borderId="102" xfId="18" applyNumberFormat="1" applyFont="1" applyFill="1" applyBorder="1" applyAlignment="1">
      <alignment vertical="center"/>
    </xf>
    <xf numFmtId="166" fontId="7" fillId="3" borderId="100" xfId="18" applyNumberFormat="1" applyFont="1" applyFill="1" applyBorder="1" applyAlignment="1">
      <alignment vertical="center"/>
    </xf>
    <xf numFmtId="175" fontId="0" fillId="3" borderId="134" xfId="0" applyNumberFormat="1" applyFont="1" applyFill="1" applyBorder="1" applyAlignment="1">
      <alignment horizontal="left" vertical="center" wrapText="1"/>
    </xf>
    <xf numFmtId="1" fontId="20" fillId="3" borderId="91" xfId="16" applyNumberFormat="1" applyFont="1" applyFill="1" applyBorder="1"/>
    <xf numFmtId="1" fontId="20" fillId="3" borderId="132" xfId="16" applyNumberFormat="1" applyFont="1" applyFill="1" applyBorder="1"/>
    <xf numFmtId="1" fontId="0" fillId="3" borderId="91" xfId="16" applyNumberFormat="1" applyFont="1" applyFill="1" applyBorder="1"/>
    <xf numFmtId="1" fontId="0" fillId="3" borderId="92" xfId="16" applyNumberFormat="1" applyFont="1" applyFill="1" applyBorder="1"/>
    <xf numFmtId="1" fontId="0" fillId="3" borderId="132" xfId="16" applyNumberFormat="1" applyFont="1" applyFill="1" applyBorder="1"/>
    <xf numFmtId="1" fontId="20" fillId="3" borderId="103" xfId="16" applyNumberFormat="1" applyFont="1" applyFill="1" applyBorder="1"/>
    <xf numFmtId="169" fontId="0" fillId="3" borderId="135" xfId="16" applyNumberFormat="1" applyFont="1" applyFill="1" applyBorder="1"/>
    <xf numFmtId="169" fontId="0" fillId="3" borderId="136" xfId="16" applyNumberFormat="1" applyFont="1" applyFill="1" applyBorder="1"/>
    <xf numFmtId="169" fontId="0" fillId="3" borderId="137" xfId="16" applyNumberFormat="1" applyFont="1" applyFill="1" applyBorder="1"/>
    <xf numFmtId="10" fontId="21" fillId="3" borderId="23" xfId="18" applyNumberFormat="1" applyFont="1" applyFill="1" applyBorder="1" applyAlignment="1">
      <alignment horizontal="center" vertical="center" wrapText="1"/>
    </xf>
    <xf numFmtId="9" fontId="21" fillId="3" borderId="23" xfId="16" applyNumberFormat="1" applyFont="1" applyFill="1" applyBorder="1" applyAlignment="1">
      <alignment horizontal="center" vertical="center" wrapText="1"/>
    </xf>
    <xf numFmtId="1" fontId="7" fillId="3" borderId="138" xfId="0" applyNumberFormat="1" applyFont="1" applyFill="1" applyBorder="1" applyAlignment="1">
      <alignment horizontal="left" vertical="center" wrapText="1"/>
    </xf>
    <xf numFmtId="1" fontId="7" fillId="3" borderId="139" xfId="0" applyNumberFormat="1" applyFont="1" applyFill="1" applyBorder="1" applyAlignment="1">
      <alignment horizontal="left" vertical="center" wrapText="1"/>
    </xf>
    <xf numFmtId="1" fontId="0" fillId="3" borderId="139" xfId="0" applyNumberFormat="1" applyFont="1" applyFill="1" applyBorder="1" applyAlignment="1">
      <alignment horizontal="left" vertical="center" wrapText="1"/>
    </xf>
    <xf numFmtId="175" fontId="7" fillId="3" borderId="93" xfId="0" applyNumberFormat="1" applyFont="1" applyFill="1" applyBorder="1" applyAlignment="1">
      <alignment horizontal="left" vertical="center" wrapText="1"/>
    </xf>
    <xf numFmtId="1" fontId="0" fillId="3" borderId="56" xfId="16" applyNumberFormat="1" applyFont="1" applyFill="1" applyBorder="1"/>
    <xf numFmtId="1" fontId="0" fillId="3" borderId="51" xfId="16" applyNumberFormat="1" applyFont="1" applyFill="1" applyBorder="1"/>
    <xf numFmtId="1" fontId="0" fillId="3" borderId="140" xfId="16" applyNumberFormat="1" applyFont="1" applyFill="1" applyBorder="1"/>
    <xf numFmtId="1" fontId="0" fillId="3" borderId="50" xfId="16" applyNumberFormat="1" applyFont="1" applyFill="1" applyBorder="1"/>
    <xf numFmtId="1" fontId="20" fillId="3" borderId="140" xfId="16" applyNumberFormat="1" applyFont="1" applyFill="1" applyBorder="1"/>
    <xf numFmtId="1" fontId="20" fillId="3" borderId="56" xfId="16" applyNumberFormat="1" applyFont="1" applyFill="1" applyBorder="1"/>
    <xf numFmtId="1" fontId="20" fillId="3" borderId="51" xfId="16" applyNumberFormat="1" applyFont="1" applyFill="1" applyBorder="1"/>
    <xf numFmtId="1" fontId="20" fillId="3" borderId="50" xfId="16" applyNumberFormat="1" applyFont="1" applyFill="1" applyBorder="1"/>
    <xf numFmtId="169" fontId="0" fillId="3" borderId="140" xfId="16" applyNumberFormat="1" applyFont="1" applyFill="1" applyBorder="1"/>
    <xf numFmtId="169" fontId="0" fillId="3" borderId="50" xfId="16" applyNumberFormat="1" applyFont="1" applyFill="1" applyBorder="1"/>
    <xf numFmtId="169" fontId="0" fillId="3" borderId="56" xfId="16" applyNumberFormat="1" applyFont="1" applyFill="1" applyBorder="1"/>
    <xf numFmtId="175" fontId="0" fillId="3" borderId="56" xfId="0" applyNumberFormat="1" applyFont="1" applyFill="1" applyBorder="1" applyAlignment="1">
      <alignment horizontal="left" vertical="center" wrapText="1"/>
    </xf>
    <xf numFmtId="169" fontId="7" fillId="3" borderId="1" xfId="16" applyNumberFormat="1" applyFont="1" applyFill="1" applyBorder="1"/>
    <xf numFmtId="169" fontId="7" fillId="3" borderId="8" xfId="16" applyNumberFormat="1" applyFont="1" applyFill="1" applyBorder="1"/>
    <xf numFmtId="169" fontId="7" fillId="3" borderId="0" xfId="16" applyNumberFormat="1" applyFont="1" applyFill="1" applyBorder="1"/>
    <xf numFmtId="169" fontId="7" fillId="3" borderId="13" xfId="16" applyNumberFormat="1" applyFont="1" applyFill="1" applyBorder="1"/>
    <xf numFmtId="166" fontId="85" fillId="3" borderId="16" xfId="16" applyNumberFormat="1" applyFont="1" applyFill="1" applyBorder="1" applyAlignment="1">
      <alignment horizontal="center" vertical="center" wrapText="1"/>
    </xf>
    <xf numFmtId="166" fontId="85" fillId="3" borderId="18" xfId="15" applyNumberFormat="1" applyFont="1" applyFill="1" applyBorder="1" applyAlignment="1">
      <alignment horizontal="center" vertical="center" wrapText="1"/>
    </xf>
    <xf numFmtId="166" fontId="6" fillId="3" borderId="18" xfId="15" applyNumberFormat="1" applyFont="1" applyFill="1" applyBorder="1" applyAlignment="1">
      <alignment horizontal="center" vertical="center" wrapText="1"/>
    </xf>
    <xf numFmtId="10" fontId="6" fillId="3" borderId="0" xfId="16" applyNumberFormat="1" applyFont="1" applyFill="1" applyBorder="1" applyAlignment="1">
      <alignment horizontal="center" vertical="center" wrapText="1"/>
    </xf>
    <xf numFmtId="9" fontId="6" fillId="3" borderId="23" xfId="16" applyNumberFormat="1" applyFont="1" applyFill="1" applyBorder="1" applyAlignment="1">
      <alignment horizontal="center" vertical="center" wrapText="1"/>
    </xf>
    <xf numFmtId="9" fontId="85" fillId="3" borderId="23" xfId="16" applyNumberFormat="1" applyFont="1" applyFill="1" applyBorder="1" applyAlignment="1">
      <alignment horizontal="center" vertical="center" wrapText="1"/>
    </xf>
    <xf numFmtId="9" fontId="85" fillId="3" borderId="0" xfId="16" applyNumberFormat="1" applyFont="1" applyFill="1" applyBorder="1" applyAlignment="1">
      <alignment horizontal="center" vertical="center" wrapText="1"/>
    </xf>
    <xf numFmtId="9" fontId="21" fillId="3" borderId="23" xfId="0" applyNumberFormat="1" applyFont="1" applyFill="1" applyBorder="1" applyAlignment="1">
      <alignment horizontal="center" vertical="center"/>
    </xf>
    <xf numFmtId="10" fontId="6" fillId="3" borderId="23" xfId="16" applyNumberFormat="1" applyFont="1" applyFill="1" applyBorder="1" applyAlignment="1">
      <alignment horizontal="center" vertical="center" wrapText="1"/>
    </xf>
    <xf numFmtId="10" fontId="85" fillId="3" borderId="0" xfId="16" applyNumberFormat="1" applyFont="1" applyFill="1" applyBorder="1" applyAlignment="1">
      <alignment horizontal="center" vertical="center" wrapText="1"/>
    </xf>
    <xf numFmtId="186" fontId="85" fillId="3" borderId="23" xfId="16" applyNumberFormat="1" applyFont="1" applyFill="1" applyBorder="1" applyAlignment="1">
      <alignment horizontal="center" vertical="center" wrapText="1"/>
    </xf>
    <xf numFmtId="186" fontId="85" fillId="3" borderId="0" xfId="16" applyNumberFormat="1" applyFont="1" applyFill="1" applyBorder="1" applyAlignment="1">
      <alignment horizontal="center" vertical="center" wrapText="1"/>
    </xf>
    <xf numFmtId="186" fontId="6" fillId="3" borderId="23" xfId="16" applyNumberFormat="1" applyFont="1" applyFill="1" applyBorder="1" applyAlignment="1">
      <alignment horizontal="center" vertical="center" wrapText="1"/>
    </xf>
    <xf numFmtId="186" fontId="21" fillId="3" borderId="23" xfId="0" applyNumberFormat="1" applyFont="1" applyFill="1" applyBorder="1" applyAlignment="1">
      <alignment horizontal="center" vertical="center"/>
    </xf>
    <xf numFmtId="1" fontId="0" fillId="3" borderId="141" xfId="18" applyNumberFormat="1" applyFont="1" applyFill="1" applyBorder="1" applyAlignment="1">
      <alignment vertical="center"/>
    </xf>
    <xf numFmtId="1" fontId="20" fillId="3" borderId="141" xfId="18" applyNumberFormat="1" applyFont="1" applyFill="1" applyBorder="1" applyAlignment="1">
      <alignment vertical="center"/>
    </xf>
    <xf numFmtId="1" fontId="0" fillId="3" borderId="142" xfId="18" applyNumberFormat="1" applyFont="1" applyFill="1" applyBorder="1" applyAlignment="1">
      <alignment vertical="center"/>
    </xf>
    <xf numFmtId="1" fontId="0" fillId="3" borderId="143" xfId="18" applyNumberFormat="1" applyFont="1" applyFill="1" applyBorder="1" applyAlignment="1">
      <alignment vertical="center"/>
    </xf>
    <xf numFmtId="1" fontId="0" fillId="3" borderId="144" xfId="18" applyNumberFormat="1" applyFont="1" applyFill="1" applyBorder="1" applyAlignment="1">
      <alignment vertical="center"/>
    </xf>
    <xf numFmtId="1" fontId="20" fillId="3" borderId="145" xfId="18" applyNumberFormat="1" applyFont="1" applyFill="1" applyBorder="1" applyAlignment="1">
      <alignment vertical="center"/>
    </xf>
    <xf numFmtId="10" fontId="32" fillId="3" borderId="102" xfId="18" applyNumberFormat="1" applyFont="1" applyFill="1" applyBorder="1" applyAlignment="1">
      <alignment vertical="center"/>
    </xf>
    <xf numFmtId="10" fontId="32" fillId="3" borderId="101" xfId="18" applyNumberFormat="1" applyFont="1" applyFill="1" applyBorder="1" applyAlignment="1">
      <alignment vertical="center"/>
    </xf>
    <xf numFmtId="10" fontId="32" fillId="3" borderId="100" xfId="18" applyNumberFormat="1" applyFont="1" applyFill="1" applyBorder="1" applyAlignment="1">
      <alignment vertical="center"/>
    </xf>
    <xf numFmtId="10" fontId="32" fillId="3" borderId="104" xfId="18" applyNumberFormat="1" applyFont="1" applyFill="1" applyBorder="1" applyAlignment="1">
      <alignment vertical="center"/>
    </xf>
    <xf numFmtId="10" fontId="20" fillId="3" borderId="101" xfId="18" applyNumberFormat="1" applyFont="1" applyFill="1" applyBorder="1" applyAlignment="1">
      <alignment vertical="center"/>
    </xf>
    <xf numFmtId="166" fontId="20" fillId="3" borderId="101" xfId="18" applyNumberFormat="1" applyFont="1" applyFill="1" applyBorder="1" applyAlignment="1">
      <alignment vertical="center"/>
    </xf>
    <xf numFmtId="9" fontId="6" fillId="3" borderId="18" xfId="18" applyNumberFormat="1" applyFont="1" applyFill="1" applyBorder="1" applyAlignment="1">
      <alignment horizontal="center" vertical="center" wrapText="1"/>
    </xf>
    <xf numFmtId="9" fontId="85" fillId="3" borderId="18" xfId="18" applyNumberFormat="1" applyFont="1" applyFill="1" applyBorder="1" applyAlignment="1">
      <alignment horizontal="center" vertical="center" wrapText="1"/>
    </xf>
    <xf numFmtId="9" fontId="6" fillId="3" borderId="23" xfId="18" applyNumberFormat="1" applyFont="1" applyFill="1" applyBorder="1" applyAlignment="1">
      <alignment horizontal="center" vertical="center" wrapText="1"/>
    </xf>
    <xf numFmtId="9" fontId="85" fillId="3" borderId="23" xfId="18" applyNumberFormat="1" applyFont="1" applyFill="1" applyBorder="1" applyAlignment="1">
      <alignment horizontal="center" vertical="center" wrapText="1"/>
    </xf>
    <xf numFmtId="9" fontId="21" fillId="3" borderId="23" xfId="15" applyFont="1" applyFill="1" applyBorder="1" applyAlignment="1">
      <alignment horizontal="center" vertical="center" wrapText="1"/>
    </xf>
    <xf numFmtId="167" fontId="66" fillId="3" borderId="146" xfId="15" applyNumberFormat="1" applyFont="1" applyFill="1" applyBorder="1" applyAlignment="1">
      <alignment horizontal="center" vertical="center"/>
    </xf>
    <xf numFmtId="166" fontId="6" fillId="3" borderId="146" xfId="18" applyNumberFormat="1" applyFont="1" applyFill="1" applyBorder="1" applyAlignment="1">
      <alignment horizontal="center" vertical="center" wrapText="1"/>
    </xf>
    <xf numFmtId="166" fontId="6" fillId="3" borderId="11" xfId="18" applyNumberFormat="1" applyFont="1" applyFill="1" applyBorder="1" applyAlignment="1">
      <alignment horizontal="center" vertical="center" wrapText="1"/>
    </xf>
    <xf numFmtId="166" fontId="85" fillId="3" borderId="146" xfId="18" applyNumberFormat="1" applyFont="1" applyFill="1" applyBorder="1" applyAlignment="1">
      <alignment horizontal="center" vertical="center" wrapText="1"/>
    </xf>
    <xf numFmtId="166" fontId="85" fillId="3" borderId="147" xfId="18" applyNumberFormat="1" applyFont="1" applyFill="1" applyBorder="1" applyAlignment="1">
      <alignment horizontal="center" vertical="center" wrapText="1"/>
    </xf>
    <xf numFmtId="166" fontId="21" fillId="3" borderId="146" xfId="18" applyNumberFormat="1" applyFont="1" applyFill="1" applyBorder="1" applyAlignment="1">
      <alignment horizontal="center" vertical="center" wrapText="1"/>
    </xf>
    <xf numFmtId="1" fontId="6" fillId="3" borderId="146" xfId="18" applyNumberFormat="1" applyFont="1" applyFill="1" applyBorder="1" applyAlignment="1">
      <alignment horizontal="center" vertical="center" wrapText="1"/>
    </xf>
    <xf numFmtId="0" fontId="6" fillId="3" borderId="147" xfId="0" applyFont="1" applyFill="1" applyBorder="1" applyAlignment="1">
      <alignment horizontal="left" vertical="center" wrapText="1"/>
    </xf>
    <xf numFmtId="175" fontId="10" fillId="3" borderId="133" xfId="18" applyNumberFormat="1" applyFont="1" applyFill="1" applyBorder="1" applyAlignment="1" applyProtection="1">
      <alignment vertical="center"/>
      <protection locked="0"/>
    </xf>
    <xf numFmtId="175" fontId="10" fillId="3" borderId="96" xfId="18" applyNumberFormat="1" applyFont="1" applyFill="1" applyBorder="1" applyAlignment="1" applyProtection="1">
      <alignment vertical="center"/>
      <protection locked="0"/>
    </xf>
    <xf numFmtId="175" fontId="38" fillId="3" borderId="95" xfId="18" applyNumberFormat="1" applyFont="1" applyFill="1" applyBorder="1" applyAlignment="1" applyProtection="1">
      <alignment vertical="center"/>
      <protection locked="0"/>
    </xf>
    <xf numFmtId="175" fontId="7" fillId="3" borderId="94" xfId="18" applyNumberFormat="1" applyFont="1" applyFill="1" applyBorder="1" applyAlignment="1" applyProtection="1">
      <alignment vertical="center"/>
      <protection locked="0"/>
    </xf>
    <xf numFmtId="175" fontId="10" fillId="3" borderId="95" xfId="18" applyNumberFormat="1" applyFont="1" applyFill="1" applyBorder="1" applyAlignment="1" applyProtection="1">
      <alignment vertical="center"/>
      <protection locked="0"/>
    </xf>
    <xf numFmtId="175" fontId="10" fillId="3" borderId="94" xfId="18" applyNumberFormat="1" applyFont="1" applyFill="1" applyBorder="1" applyAlignment="1" applyProtection="1">
      <alignment vertical="center"/>
      <protection locked="0"/>
    </xf>
    <xf numFmtId="175" fontId="38" fillId="3" borderId="94" xfId="18" applyNumberFormat="1" applyFont="1" applyFill="1" applyBorder="1" applyAlignment="1" applyProtection="1">
      <alignment vertical="center"/>
      <protection locked="0"/>
    </xf>
    <xf numFmtId="169" fontId="7" fillId="3" borderId="148" xfId="16" applyNumberFormat="1" applyFont="1" applyFill="1" applyBorder="1"/>
    <xf numFmtId="169" fontId="7" fillId="3" borderId="137" xfId="16" applyNumberFormat="1" applyFont="1" applyFill="1" applyBorder="1"/>
    <xf numFmtId="169" fontId="7" fillId="3" borderId="136" xfId="16" applyNumberFormat="1" applyFont="1" applyFill="1" applyBorder="1"/>
    <xf numFmtId="169" fontId="7" fillId="3" borderId="135" xfId="16" applyNumberFormat="1" applyFont="1" applyFill="1" applyBorder="1"/>
    <xf numFmtId="175" fontId="7" fillId="3" borderId="149" xfId="0" applyNumberFormat="1" applyFont="1" applyFill="1" applyBorder="1" applyAlignment="1">
      <alignment horizontal="left" vertical="center" wrapText="1"/>
    </xf>
    <xf numFmtId="166" fontId="7" fillId="3" borderId="102" xfId="16" applyNumberFormat="1" applyFont="1" applyFill="1" applyBorder="1" applyAlignment="1">
      <alignment vertical="center"/>
    </xf>
    <xf numFmtId="166" fontId="7" fillId="3" borderId="101" xfId="16" applyNumberFormat="1" applyFont="1" applyFill="1" applyBorder="1" applyAlignment="1">
      <alignment vertical="center"/>
    </xf>
    <xf numFmtId="166" fontId="7" fillId="3" borderId="100" xfId="16" applyNumberFormat="1" applyFont="1" applyFill="1" applyBorder="1" applyAlignment="1">
      <alignment vertical="center"/>
    </xf>
    <xf numFmtId="10" fontId="7" fillId="3" borderId="149" xfId="15" applyNumberFormat="1" applyFont="1" applyFill="1" applyBorder="1" applyAlignment="1">
      <alignment horizontal="left" vertical="center" wrapText="1"/>
    </xf>
    <xf numFmtId="1" fontId="0" fillId="3" borderId="94" xfId="18" applyNumberFormat="1" applyFont="1" applyFill="1" applyBorder="1" applyAlignment="1" applyProtection="1">
      <alignment vertical="center"/>
      <protection locked="0"/>
    </xf>
    <xf numFmtId="1" fontId="32" fillId="3" borderId="95" xfId="18" applyNumberFormat="1" applyFont="1" applyFill="1" applyBorder="1" applyAlignment="1" applyProtection="1">
      <alignment vertical="center"/>
      <protection locked="0"/>
    </xf>
    <xf numFmtId="1" fontId="32" fillId="3" borderId="133" xfId="18" applyNumberFormat="1" applyFont="1" applyFill="1" applyBorder="1" applyAlignment="1" applyProtection="1">
      <alignment vertical="center"/>
      <protection locked="0"/>
    </xf>
    <xf numFmtId="1" fontId="32" fillId="3" borderId="96" xfId="18" applyNumberFormat="1" applyFont="1" applyFill="1" applyBorder="1" applyAlignment="1" applyProtection="1">
      <alignment vertical="center"/>
      <protection locked="0"/>
    </xf>
    <xf numFmtId="1" fontId="32" fillId="3" borderId="94" xfId="18" applyNumberFormat="1" applyFont="1" applyFill="1" applyBorder="1" applyAlignment="1" applyProtection="1">
      <alignment vertical="center"/>
      <protection locked="0"/>
    </xf>
    <xf numFmtId="1" fontId="20" fillId="3" borderId="95" xfId="0" applyNumberFormat="1" applyFont="1" applyFill="1" applyBorder="1"/>
    <xf numFmtId="0" fontId="0" fillId="3" borderId="11" xfId="0" applyFill="1" applyBorder="1"/>
    <xf numFmtId="167" fontId="0" fillId="3" borderId="11" xfId="15" applyNumberFormat="1" applyFont="1" applyFill="1" applyBorder="1"/>
    <xf numFmtId="9" fontId="23" fillId="3" borderId="11" xfId="15" applyFont="1" applyFill="1" applyBorder="1"/>
    <xf numFmtId="10" fontId="20" fillId="3" borderId="150" xfId="0" applyNumberFormat="1" applyFont="1" applyFill="1" applyBorder="1"/>
    <xf numFmtId="0" fontId="0" fillId="3" borderId="0" xfId="0" applyFill="1"/>
    <xf numFmtId="0" fontId="6" fillId="3" borderId="0" xfId="0" applyFont="1" applyFill="1" applyAlignment="1">
      <alignment vertical="center"/>
    </xf>
    <xf numFmtId="0" fontId="0" fillId="3" borderId="0" xfId="0" applyFill="1" applyBorder="1"/>
    <xf numFmtId="0" fontId="6" fillId="3" borderId="0" xfId="0" applyFont="1" applyFill="1" applyAlignment="1">
      <alignment horizontal="center" vertical="center"/>
    </xf>
    <xf numFmtId="0" fontId="7" fillId="3" borderId="44"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6" fillId="3" borderId="23"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23" xfId="0" applyFont="1" applyFill="1" applyBorder="1" applyAlignment="1">
      <alignment vertical="center" wrapText="1"/>
    </xf>
    <xf numFmtId="0" fontId="21" fillId="3" borderId="0" xfId="0" applyFont="1" applyFill="1" applyAlignment="1">
      <alignment vertical="center"/>
    </xf>
    <xf numFmtId="1" fontId="0" fillId="3" borderId="0" xfId="0" applyNumberFormat="1" applyFont="1" applyFill="1"/>
    <xf numFmtId="1" fontId="23" fillId="3" borderId="0" xfId="0" applyNumberFormat="1" applyFont="1" applyFill="1"/>
    <xf numFmtId="1" fontId="0" fillId="3" borderId="0" xfId="0" applyNumberFormat="1" applyFont="1" applyFill="1" applyBorder="1"/>
    <xf numFmtId="0" fontId="5" fillId="3" borderId="0" xfId="0" applyFont="1" applyFill="1" applyBorder="1" applyAlignment="1">
      <alignment vertical="center" textRotation="90"/>
    </xf>
    <xf numFmtId="10" fontId="66" fillId="3" borderId="13" xfId="0" applyNumberFormat="1" applyFont="1" applyFill="1" applyBorder="1" applyAlignment="1">
      <alignment horizontal="center" vertical="center"/>
    </xf>
    <xf numFmtId="10" fontId="20" fillId="3" borderId="98" xfId="0" applyNumberFormat="1" applyFont="1" applyFill="1" applyBorder="1"/>
    <xf numFmtId="10" fontId="0" fillId="3" borderId="98" xfId="0" applyNumberFormat="1" applyFont="1" applyFill="1" applyBorder="1"/>
    <xf numFmtId="1" fontId="0" fillId="3" borderId="99" xfId="0" applyNumberFormat="1" applyFont="1" applyFill="1" applyBorder="1" applyAlignment="1">
      <alignment horizontal="left" vertical="center" wrapText="1"/>
    </xf>
    <xf numFmtId="10" fontId="20" fillId="3" borderId="151" xfId="0" applyNumberFormat="1" applyFont="1" applyFill="1" applyBorder="1"/>
    <xf numFmtId="0" fontId="7" fillId="3" borderId="44" xfId="0" applyFont="1" applyFill="1" applyBorder="1" applyAlignment="1">
      <alignment horizontal="center" vertical="center" wrapText="1"/>
    </xf>
    <xf numFmtId="1" fontId="0" fillId="3" borderId="94" xfId="0" applyNumberFormat="1" applyFill="1" applyBorder="1"/>
    <xf numFmtId="1" fontId="0" fillId="3" borderId="95" xfId="0" applyNumberFormat="1" applyFill="1" applyBorder="1"/>
    <xf numFmtId="166" fontId="20" fillId="3" borderId="94" xfId="18" applyNumberFormat="1" applyFont="1" applyFill="1" applyBorder="1" applyAlignment="1" applyProtection="1">
      <alignment vertical="center"/>
      <protection locked="0"/>
    </xf>
    <xf numFmtId="166" fontId="32" fillId="3" borderId="95" xfId="18" applyNumberFormat="1" applyFont="1" applyFill="1" applyBorder="1" applyAlignment="1" applyProtection="1">
      <alignment vertical="center"/>
      <protection locked="0"/>
    </xf>
    <xf numFmtId="166" fontId="0" fillId="3" borderId="94" xfId="18" applyNumberFormat="1" applyFont="1" applyFill="1" applyBorder="1" applyAlignment="1" applyProtection="1">
      <alignment vertical="center"/>
      <protection locked="0"/>
    </xf>
    <xf numFmtId="166" fontId="20" fillId="3" borderId="95" xfId="18" applyNumberFormat="1" applyFont="1" applyFill="1" applyBorder="1" applyAlignment="1" applyProtection="1">
      <alignment vertical="center"/>
      <protection locked="0"/>
    </xf>
    <xf numFmtId="166" fontId="0" fillId="3" borderId="102" xfId="18" applyNumberFormat="1" applyFont="1" applyFill="1" applyBorder="1" applyAlignment="1">
      <alignment vertical="center"/>
    </xf>
    <xf numFmtId="166" fontId="20" fillId="3" borderId="101" xfId="15" applyNumberFormat="1" applyFont="1" applyFill="1" applyBorder="1" applyAlignment="1">
      <alignment vertical="center"/>
    </xf>
    <xf numFmtId="166" fontId="0" fillId="3" borderId="102" xfId="15" applyNumberFormat="1" applyFont="1" applyFill="1" applyBorder="1" applyAlignment="1">
      <alignment vertical="center"/>
    </xf>
    <xf numFmtId="166" fontId="38" fillId="3" borderId="101" xfId="18" applyNumberFormat="1" applyFont="1" applyFill="1" applyBorder="1" applyAlignment="1">
      <alignment vertical="center"/>
    </xf>
    <xf numFmtId="169" fontId="21" fillId="3" borderId="17" xfId="16" applyNumberFormat="1" applyFont="1" applyFill="1" applyBorder="1" applyAlignment="1">
      <alignment horizontal="center" vertical="center"/>
    </xf>
    <xf numFmtId="169" fontId="38" fillId="3" borderId="137" xfId="16" applyNumberFormat="1" applyFont="1" applyFill="1" applyBorder="1"/>
    <xf numFmtId="169" fontId="38" fillId="3" borderId="136" xfId="16" applyNumberFormat="1" applyFont="1" applyFill="1" applyBorder="1"/>
    <xf numFmtId="0" fontId="0" fillId="3" borderId="26" xfId="0" applyFill="1" applyBorder="1" applyAlignment="1">
      <alignment horizontal="center"/>
    </xf>
    <xf numFmtId="175" fontId="85" fillId="3" borderId="23" xfId="0" applyNumberFormat="1" applyFont="1" applyFill="1" applyBorder="1" applyAlignment="1">
      <alignment horizontal="center" vertical="center" wrapText="1"/>
    </xf>
    <xf numFmtId="44" fontId="0" fillId="3" borderId="26" xfId="16" applyNumberFormat="1" applyFont="1" applyFill="1" applyBorder="1" applyAlignment="1">
      <alignment horizontal="center"/>
    </xf>
    <xf numFmtId="187" fontId="0" fillId="3" borderId="26" xfId="16" applyNumberFormat="1" applyFont="1" applyFill="1" applyBorder="1" applyAlignment="1">
      <alignment horizontal="center"/>
    </xf>
    <xf numFmtId="44" fontId="0" fillId="3" borderId="26" xfId="16" applyNumberFormat="1" applyFont="1" applyFill="1" applyBorder="1" applyAlignment="1">
      <alignment horizontal="center"/>
    </xf>
    <xf numFmtId="171" fontId="38" fillId="3" borderId="25" xfId="0" applyNumberFormat="1" applyFont="1" applyFill="1" applyBorder="1" applyProtection="1">
      <protection locked="0"/>
    </xf>
    <xf numFmtId="166" fontId="21" fillId="3" borderId="23" xfId="15" applyNumberFormat="1" applyFont="1" applyFill="1" applyBorder="1" applyAlignment="1">
      <alignment horizontal="center" vertical="center"/>
    </xf>
    <xf numFmtId="168" fontId="0" fillId="3" borderId="15" xfId="18" applyNumberFormat="1" applyFont="1" applyFill="1" applyBorder="1" applyAlignment="1">
      <alignment horizontal="center"/>
    </xf>
    <xf numFmtId="168" fontId="0" fillId="3" borderId="0" xfId="18" applyNumberFormat="1" applyFont="1" applyFill="1" applyBorder="1" applyAlignment="1">
      <alignment horizontal="center"/>
    </xf>
    <xf numFmtId="169" fontId="0" fillId="3" borderId="13" xfId="16" applyNumberFormat="1" applyFont="1" applyFill="1" applyBorder="1"/>
    <xf numFmtId="169" fontId="0" fillId="3" borderId="0" xfId="16" applyNumberFormat="1" applyFont="1" applyFill="1" applyBorder="1"/>
    <xf numFmtId="169" fontId="0" fillId="3" borderId="1" xfId="16" applyNumberFormat="1" applyFont="1" applyFill="1" applyBorder="1"/>
    <xf numFmtId="169" fontId="20" fillId="3" borderId="15" xfId="16" applyNumberFormat="1" applyFont="1" applyFill="1" applyBorder="1"/>
    <xf numFmtId="169" fontId="20" fillId="3" borderId="16" xfId="16" applyNumberFormat="1" applyFont="1" applyFill="1" applyBorder="1"/>
    <xf numFmtId="169" fontId="20" fillId="3" borderId="17" xfId="16" applyNumberFormat="1" applyFont="1" applyFill="1" applyBorder="1"/>
    <xf numFmtId="169" fontId="20" fillId="3" borderId="13" xfId="16" applyNumberFormat="1" applyFont="1" applyFill="1" applyBorder="1"/>
    <xf numFmtId="169" fontId="20" fillId="3" borderId="0" xfId="16" applyNumberFormat="1" applyFont="1" applyFill="1" applyBorder="1"/>
    <xf numFmtId="169" fontId="20" fillId="3" borderId="1" xfId="16" applyNumberFormat="1" applyFont="1" applyFill="1" applyBorder="1"/>
    <xf numFmtId="169" fontId="20" fillId="3" borderId="19" xfId="16" applyNumberFormat="1" applyFont="1" applyFill="1" applyBorder="1"/>
    <xf numFmtId="169" fontId="20" fillId="3" borderId="20" xfId="16" applyNumberFormat="1" applyFont="1" applyFill="1" applyBorder="1"/>
    <xf numFmtId="169" fontId="20" fillId="3" borderId="21" xfId="16" applyNumberFormat="1" applyFont="1" applyFill="1" applyBorder="1"/>
    <xf numFmtId="169" fontId="0" fillId="3" borderId="16" xfId="16" applyNumberFormat="1" applyFont="1" applyFill="1" applyBorder="1" applyAlignment="1">
      <alignment vertical="center"/>
    </xf>
    <xf numFmtId="0" fontId="92" fillId="3" borderId="0" xfId="0" applyFont="1" applyFill="1" applyBorder="1" applyAlignment="1">
      <alignment horizontal="left" vertical="center" wrapText="1"/>
    </xf>
    <xf numFmtId="0" fontId="20" fillId="3" borderId="92" xfId="16" applyNumberFormat="1" applyFont="1" applyFill="1" applyBorder="1"/>
    <xf numFmtId="0" fontId="20" fillId="3" borderId="91" xfId="16" applyNumberFormat="1" applyFont="1" applyFill="1" applyBorder="1"/>
    <xf numFmtId="175" fontId="21" fillId="3" borderId="0" xfId="18" applyNumberFormat="1" applyFont="1" applyFill="1" applyBorder="1" applyAlignment="1">
      <alignment horizontal="center" vertical="center" wrapText="1"/>
    </xf>
    <xf numFmtId="175" fontId="85" fillId="3" borderId="23" xfId="18" applyNumberFormat="1" applyFont="1" applyFill="1" applyBorder="1" applyAlignment="1">
      <alignment horizontal="center" vertical="center" wrapText="1"/>
    </xf>
    <xf numFmtId="175" fontId="85" fillId="3" borderId="0" xfId="18" applyNumberFormat="1" applyFont="1" applyFill="1" applyBorder="1" applyAlignment="1">
      <alignment horizontal="center" vertical="center" wrapText="1"/>
    </xf>
    <xf numFmtId="164" fontId="0" fillId="3" borderId="0" xfId="0" applyNumberFormat="1" applyFill="1" applyBorder="1"/>
    <xf numFmtId="0" fontId="24" fillId="3" borderId="0" xfId="0" applyFont="1" applyFill="1" applyBorder="1" applyAlignment="1">
      <alignment vertical="center" wrapText="1"/>
    </xf>
    <xf numFmtId="0" fontId="0" fillId="3" borderId="15" xfId="0" applyFill="1" applyBorder="1"/>
    <xf numFmtId="0" fontId="3" fillId="3" borderId="16" xfId="2189" applyFill="1" applyBorder="1" applyAlignment="1">
      <alignment horizontal="left" vertical="center" wrapText="1"/>
    </xf>
    <xf numFmtId="0" fontId="0" fillId="3" borderId="16" xfId="0" applyFill="1" applyBorder="1" applyAlignment="1">
      <alignment vertical="center" wrapText="1"/>
    </xf>
    <xf numFmtId="0" fontId="0" fillId="3" borderId="17" xfId="0" applyFill="1" applyBorder="1" applyAlignment="1">
      <alignment vertical="center" wrapText="1"/>
    </xf>
    <xf numFmtId="0" fontId="17" fillId="3" borderId="13" xfId="0" applyFont="1" applyFill="1" applyBorder="1" applyAlignment="1">
      <alignment horizontal="left" vertical="center" wrapText="1"/>
    </xf>
    <xf numFmtId="2" fontId="16" fillId="4" borderId="13" xfId="0" applyNumberFormat="1" applyFont="1" applyFill="1" applyBorder="1" applyAlignment="1">
      <alignment horizontal="left"/>
    </xf>
    <xf numFmtId="0" fontId="17" fillId="3" borderId="13" xfId="0" applyFont="1" applyFill="1" applyBorder="1" applyAlignment="1">
      <alignment vertical="center" wrapText="1"/>
    </xf>
    <xf numFmtId="0" fontId="79" fillId="4" borderId="13" xfId="0" applyFont="1" applyFill="1" applyBorder="1"/>
    <xf numFmtId="0" fontId="0" fillId="3" borderId="13" xfId="0" applyFont="1" applyFill="1" applyBorder="1"/>
    <xf numFmtId="172" fontId="62" fillId="3" borderId="0" xfId="0" applyNumberFormat="1" applyFont="1" applyFill="1" applyBorder="1" applyAlignment="1">
      <alignment horizontal="center"/>
    </xf>
    <xf numFmtId="0" fontId="0" fillId="3" borderId="1" xfId="0" applyFill="1" applyBorder="1" applyAlignment="1">
      <alignment vertical="center" wrapText="1"/>
    </xf>
    <xf numFmtId="0" fontId="100" fillId="3" borderId="152" xfId="0" applyFont="1" applyFill="1" applyBorder="1" applyAlignment="1">
      <alignment vertical="center"/>
    </xf>
    <xf numFmtId="0" fontId="100" fillId="3" borderId="153" xfId="0" applyFont="1" applyFill="1" applyBorder="1"/>
    <xf numFmtId="0" fontId="17" fillId="3" borderId="13" xfId="0" applyFont="1" applyFill="1" applyBorder="1"/>
    <xf numFmtId="0" fontId="7" fillId="3" borderId="13" xfId="0" applyFont="1" applyFill="1" applyBorder="1" applyAlignment="1">
      <alignment vertical="center"/>
    </xf>
    <xf numFmtId="0" fontId="0" fillId="3" borderId="13" xfId="0" applyFill="1" applyBorder="1" applyAlignment="1">
      <alignment vertical="center"/>
    </xf>
    <xf numFmtId="0" fontId="0" fillId="3" borderId="1" xfId="0" applyFill="1" applyBorder="1" applyAlignment="1">
      <alignment vertical="center"/>
    </xf>
    <xf numFmtId="0" fontId="7" fillId="3" borderId="154" xfId="0" applyFont="1" applyFill="1" applyBorder="1" applyAlignment="1">
      <alignment vertical="center"/>
    </xf>
    <xf numFmtId="0" fontId="40" fillId="3" borderId="154" xfId="0" applyFont="1" applyFill="1" applyBorder="1"/>
    <xf numFmtId="0" fontId="25" fillId="3" borderId="13" xfId="0" applyFont="1" applyFill="1" applyBorder="1" applyAlignment="1">
      <alignment horizontal="left"/>
    </xf>
    <xf numFmtId="0" fontId="7" fillId="3" borderId="1" xfId="0" applyFont="1" applyFill="1" applyBorder="1" applyAlignment="1">
      <alignment vertical="center"/>
    </xf>
    <xf numFmtId="0" fontId="97" fillId="3" borderId="13" xfId="0" applyFont="1" applyFill="1" applyBorder="1"/>
    <xf numFmtId="0" fontId="63" fillId="3" borderId="13" xfId="0" applyFont="1" applyFill="1" applyBorder="1" applyAlignment="1">
      <alignment vertical="center"/>
    </xf>
    <xf numFmtId="0" fontId="0" fillId="3" borderId="1" xfId="0" applyFill="1" applyBorder="1" applyAlignment="1">
      <alignment horizontal="left" vertical="center"/>
    </xf>
    <xf numFmtId="0" fontId="63" fillId="3" borderId="13" xfId="0" applyFont="1" applyFill="1" applyBorder="1"/>
    <xf numFmtId="0" fontId="0" fillId="3" borderId="19" xfId="0" applyFill="1" applyBorder="1"/>
    <xf numFmtId="0" fontId="0" fillId="3" borderId="20" xfId="0" applyFill="1" applyBorder="1" applyAlignment="1">
      <alignment horizontal="center"/>
    </xf>
    <xf numFmtId="0" fontId="0" fillId="3" borderId="20" xfId="0" applyFill="1" applyBorder="1"/>
    <xf numFmtId="0" fontId="0" fillId="3" borderId="21" xfId="0" applyFill="1" applyBorder="1"/>
    <xf numFmtId="1" fontId="21" fillId="3" borderId="23" xfId="16" applyNumberFormat="1" applyFont="1" applyFill="1" applyBorder="1" applyAlignment="1">
      <alignment horizontal="center" vertical="center" wrapText="1"/>
    </xf>
    <xf numFmtId="10" fontId="21" fillId="3" borderId="13" xfId="18" applyNumberFormat="1" applyFont="1" applyFill="1" applyBorder="1" applyAlignment="1">
      <alignment horizontal="center" vertical="center" wrapText="1"/>
    </xf>
    <xf numFmtId="175" fontId="38" fillId="3" borderId="96" xfId="18" applyNumberFormat="1" applyFont="1" applyFill="1" applyBorder="1" applyAlignment="1" applyProtection="1">
      <alignment vertical="center"/>
      <protection locked="0"/>
    </xf>
    <xf numFmtId="175" fontId="38" fillId="3" borderId="133" xfId="18" applyNumberFormat="1" applyFont="1" applyFill="1" applyBorder="1" applyAlignment="1" applyProtection="1">
      <alignment vertical="center"/>
      <protection locked="0"/>
    </xf>
    <xf numFmtId="1" fontId="20" fillId="3" borderId="94" xfId="18" applyNumberFormat="1" applyFont="1" applyFill="1" applyBorder="1" applyAlignment="1" applyProtection="1">
      <alignment vertical="center"/>
      <protection locked="0"/>
    </xf>
    <xf numFmtId="1" fontId="20" fillId="3" borderId="96" xfId="18" applyNumberFormat="1" applyFont="1" applyFill="1" applyBorder="1" applyAlignment="1" applyProtection="1">
      <alignment vertical="center"/>
      <protection locked="0"/>
    </xf>
    <xf numFmtId="10" fontId="20" fillId="3" borderId="104" xfId="18" applyNumberFormat="1" applyFont="1" applyFill="1" applyBorder="1" applyAlignment="1">
      <alignment vertical="center"/>
    </xf>
    <xf numFmtId="0" fontId="6" fillId="3" borderId="23" xfId="16" applyNumberFormat="1" applyFont="1" applyFill="1" applyBorder="1" applyAlignment="1">
      <alignment horizontal="center" vertical="center" wrapText="1"/>
    </xf>
    <xf numFmtId="1" fontId="20" fillId="3" borderId="129" xfId="18" applyNumberFormat="1" applyFont="1" applyFill="1" applyBorder="1" applyAlignment="1">
      <alignment vertical="center"/>
    </xf>
    <xf numFmtId="1" fontId="0" fillId="3" borderId="24" xfId="18" applyNumberFormat="1" applyFont="1" applyFill="1" applyBorder="1" applyAlignment="1">
      <alignment vertical="center"/>
    </xf>
    <xf numFmtId="1" fontId="0" fillId="3" borderId="37" xfId="18" applyNumberFormat="1" applyFont="1" applyFill="1" applyBorder="1" applyAlignment="1">
      <alignment vertical="center"/>
    </xf>
    <xf numFmtId="166" fontId="0" fillId="3" borderId="14" xfId="18" applyNumberFormat="1" applyFont="1" applyFill="1" applyBorder="1" applyAlignment="1">
      <alignment vertical="center"/>
    </xf>
    <xf numFmtId="175" fontId="32" fillId="3" borderId="24" xfId="18" applyNumberFormat="1" applyFont="1" applyFill="1" applyBorder="1" applyAlignment="1">
      <alignment vertical="center"/>
    </xf>
    <xf numFmtId="175" fontId="32" fillId="3" borderId="40" xfId="18" applyNumberFormat="1" applyFont="1" applyFill="1" applyBorder="1" applyAlignment="1">
      <alignment vertical="center"/>
    </xf>
    <xf numFmtId="175" fontId="32" fillId="3" borderId="155" xfId="18" applyNumberFormat="1" applyFont="1" applyFill="1" applyBorder="1" applyAlignment="1">
      <alignment vertical="center"/>
    </xf>
    <xf numFmtId="175" fontId="32" fillId="3" borderId="37" xfId="18" applyNumberFormat="1" applyFont="1" applyFill="1" applyBorder="1" applyAlignment="1">
      <alignment vertical="center"/>
    </xf>
    <xf numFmtId="0" fontId="108" fillId="22" borderId="77" xfId="0" applyFont="1" applyFill="1" applyBorder="1" applyAlignment="1">
      <alignment horizontal="center" vertical="center"/>
    </xf>
    <xf numFmtId="0" fontId="3" fillId="17" borderId="77" xfId="2189" applyFill="1" applyBorder="1" applyAlignment="1">
      <alignment horizontal="center" vertical="center"/>
    </xf>
    <xf numFmtId="0" fontId="108" fillId="17" borderId="77" xfId="0" applyFont="1" applyFill="1" applyBorder="1" applyAlignment="1">
      <alignment horizontal="center" vertical="center"/>
    </xf>
    <xf numFmtId="4" fontId="110" fillId="23" borderId="87" xfId="0" applyNumberFormat="1" applyFont="1" applyFill="1" applyBorder="1" applyAlignment="1">
      <alignment horizontal="center" vertical="center"/>
    </xf>
    <xf numFmtId="188" fontId="108" fillId="16" borderId="0" xfId="0" applyNumberFormat="1" applyFont="1" applyFill="1" applyAlignment="1">
      <alignment horizontal="center" vertical="center"/>
    </xf>
    <xf numFmtId="172" fontId="108" fillId="17" borderId="0" xfId="0" applyNumberFormat="1" applyFont="1" applyFill="1" applyAlignment="1">
      <alignment horizontal="center" vertical="center"/>
    </xf>
    <xf numFmtId="188" fontId="108" fillId="16" borderId="7" xfId="0" applyNumberFormat="1" applyFont="1" applyFill="1" applyBorder="1" applyAlignment="1">
      <alignment horizontal="center" vertical="center"/>
    </xf>
    <xf numFmtId="172" fontId="108" fillId="17" borderId="8" xfId="0" applyNumberFormat="1" applyFont="1" applyFill="1" applyBorder="1" applyAlignment="1">
      <alignment horizontal="center" vertical="center"/>
    </xf>
    <xf numFmtId="0" fontId="0" fillId="17" borderId="87" xfId="0" applyFill="1" applyBorder="1" applyAlignment="1">
      <alignment horizontal="center"/>
    </xf>
    <xf numFmtId="178" fontId="0" fillId="17" borderId="2" xfId="0" applyNumberFormat="1" applyFill="1" applyBorder="1" applyAlignment="1">
      <alignment horizontal="center"/>
    </xf>
    <xf numFmtId="178" fontId="0" fillId="17" borderId="3" xfId="0" applyNumberFormat="1" applyFill="1" applyBorder="1" applyAlignment="1">
      <alignment horizontal="center"/>
    </xf>
    <xf numFmtId="178" fontId="0" fillId="17" borderId="9" xfId="0" applyNumberFormat="1" applyFill="1" applyBorder="1" applyAlignment="1">
      <alignment horizontal="center"/>
    </xf>
    <xf numFmtId="188" fontId="108" fillId="16" borderId="156" xfId="0" applyNumberFormat="1" applyFont="1" applyFill="1" applyBorder="1" applyAlignment="1">
      <alignment horizontal="center" vertical="center"/>
    </xf>
    <xf numFmtId="0" fontId="109" fillId="17" borderId="77" xfId="2189" applyFont="1" applyFill="1" applyBorder="1" applyAlignment="1">
      <alignment horizontal="center" vertical="center"/>
    </xf>
    <xf numFmtId="0" fontId="0" fillId="0" borderId="0" xfId="0" applyFont="1" applyAlignment="1">
      <alignment horizontal="left" vertical="center" wrapText="1"/>
    </xf>
    <xf numFmtId="0" fontId="7" fillId="3" borderId="2" xfId="0" applyFont="1" applyFill="1" applyBorder="1" applyAlignment="1">
      <alignment horizontal="center" vertical="center"/>
    </xf>
    <xf numFmtId="0" fontId="7" fillId="3" borderId="9" xfId="0" applyFont="1" applyFill="1" applyBorder="1" applyAlignment="1">
      <alignment horizontal="center" vertical="center"/>
    </xf>
    <xf numFmtId="0" fontId="24" fillId="3" borderId="0" xfId="0" applyFont="1" applyFill="1" applyAlignment="1">
      <alignment horizontal="center"/>
    </xf>
    <xf numFmtId="0" fontId="7" fillId="3" borderId="3" xfId="0" applyFont="1" applyFill="1" applyBorder="1" applyAlignment="1">
      <alignment horizontal="center" vertical="center"/>
    </xf>
    <xf numFmtId="0" fontId="24" fillId="7" borderId="4" xfId="0" applyFont="1" applyFill="1" applyBorder="1" applyAlignment="1">
      <alignment horizontal="center"/>
    </xf>
    <xf numFmtId="0" fontId="24" fillId="7" borderId="5" xfId="0" applyFont="1" applyFill="1" applyBorder="1" applyAlignment="1">
      <alignment horizontal="center"/>
    </xf>
    <xf numFmtId="0" fontId="24" fillId="7" borderId="6" xfId="0" applyFont="1" applyFill="1" applyBorder="1" applyAlignment="1">
      <alignment horizontal="center"/>
    </xf>
    <xf numFmtId="0" fontId="33" fillId="3" borderId="2" xfId="0" applyFont="1" applyFill="1" applyBorder="1" applyAlignment="1">
      <alignment horizontal="center" vertical="center"/>
    </xf>
    <xf numFmtId="0" fontId="33" fillId="3" borderId="9" xfId="0" applyFont="1" applyFill="1" applyBorder="1" applyAlignment="1">
      <alignment horizontal="center" vertical="center"/>
    </xf>
    <xf numFmtId="0" fontId="26" fillId="3" borderId="0" xfId="0" applyFont="1" applyFill="1" applyAlignment="1">
      <alignment horizontal="center"/>
    </xf>
    <xf numFmtId="0" fontId="29" fillId="24" borderId="22" xfId="0" applyFont="1" applyFill="1" applyBorder="1" applyAlignment="1">
      <alignment horizontal="center" vertical="center"/>
    </xf>
    <xf numFmtId="0" fontId="29" fillId="24" borderId="23" xfId="0" applyFont="1" applyFill="1" applyBorder="1" applyAlignment="1">
      <alignment horizontal="center" vertical="center"/>
    </xf>
    <xf numFmtId="0" fontId="29" fillId="24" borderId="18" xfId="0" applyFont="1" applyFill="1" applyBorder="1" applyAlignment="1">
      <alignment horizontal="center" vertical="center"/>
    </xf>
    <xf numFmtId="0" fontId="29" fillId="24" borderId="15" xfId="0" applyFont="1" applyFill="1" applyBorder="1" applyAlignment="1">
      <alignment horizontal="center" vertical="center"/>
    </xf>
    <xf numFmtId="0" fontId="29" fillId="24" borderId="13" xfId="0" applyFont="1" applyFill="1" applyBorder="1" applyAlignment="1">
      <alignment horizontal="center" vertical="center"/>
    </xf>
    <xf numFmtId="0" fontId="29" fillId="15" borderId="22" xfId="0" applyFont="1" applyFill="1" applyBorder="1" applyAlignment="1">
      <alignment horizontal="center" vertical="center"/>
    </xf>
    <xf numFmtId="0" fontId="29" fillId="15" borderId="18" xfId="0" applyFont="1" applyFill="1" applyBorder="1" applyAlignment="1">
      <alignment horizontal="center" vertical="center"/>
    </xf>
    <xf numFmtId="0" fontId="29" fillId="15" borderId="44" xfId="0" applyFont="1" applyFill="1" applyBorder="1" applyAlignment="1">
      <alignment horizontal="center" vertical="center"/>
    </xf>
    <xf numFmtId="0" fontId="29" fillId="15" borderId="26" xfId="0" applyFont="1" applyFill="1" applyBorder="1" applyAlignment="1">
      <alignment horizontal="center" vertical="center"/>
    </xf>
    <xf numFmtId="0" fontId="29" fillId="15" borderId="27" xfId="0" applyFont="1" applyFill="1" applyBorder="1" applyAlignment="1">
      <alignment horizontal="center" vertical="center"/>
    </xf>
    <xf numFmtId="0" fontId="40" fillId="15" borderId="15" xfId="0" applyFont="1" applyFill="1" applyBorder="1" applyAlignment="1">
      <alignment horizontal="center" vertical="center"/>
    </xf>
    <xf numFmtId="0" fontId="40" fillId="15" borderId="17" xfId="0" applyFont="1" applyFill="1" applyBorder="1" applyAlignment="1">
      <alignment horizontal="center" vertical="center"/>
    </xf>
    <xf numFmtId="0" fontId="40" fillId="15" borderId="19" xfId="0" applyFont="1" applyFill="1" applyBorder="1" applyAlignment="1">
      <alignment horizontal="center" vertical="center"/>
    </xf>
    <xf numFmtId="0" fontId="40" fillId="15" borderId="1" xfId="0" applyFont="1" applyFill="1" applyBorder="1" applyAlignment="1">
      <alignment horizontal="center" vertical="center"/>
    </xf>
    <xf numFmtId="0" fontId="7" fillId="20" borderId="44" xfId="0" applyFont="1" applyFill="1" applyBorder="1" applyAlignment="1">
      <alignment horizontal="center" vertical="center" wrapText="1"/>
    </xf>
    <xf numFmtId="0" fontId="7" fillId="20" borderId="27" xfId="0" applyFont="1" applyFill="1" applyBorder="1" applyAlignment="1">
      <alignment horizontal="center" vertical="center" wrapText="1"/>
    </xf>
    <xf numFmtId="0" fontId="7" fillId="3" borderId="56" xfId="0" applyFont="1" applyFill="1" applyBorder="1" applyAlignment="1">
      <alignment vertical="center"/>
    </xf>
    <xf numFmtId="0" fontId="7" fillId="3" borderId="140" xfId="0" applyFont="1" applyFill="1" applyBorder="1" applyAlignment="1">
      <alignment vertical="center"/>
    </xf>
    <xf numFmtId="169" fontId="7" fillId="20" borderId="15" xfId="16" applyNumberFormat="1" applyFont="1" applyFill="1" applyBorder="1" applyAlignment="1">
      <alignment horizontal="center" vertical="center"/>
    </xf>
    <xf numFmtId="169" fontId="7" fillId="20" borderId="13" xfId="16" applyNumberFormat="1" applyFont="1" applyFill="1" applyBorder="1" applyAlignment="1">
      <alignment horizontal="center" vertical="center"/>
    </xf>
    <xf numFmtId="169" fontId="7" fillId="20" borderId="19" xfId="16" applyNumberFormat="1" applyFont="1" applyFill="1" applyBorder="1" applyAlignment="1">
      <alignment horizontal="center" vertical="center"/>
    </xf>
    <xf numFmtId="168" fontId="0" fillId="20" borderId="22" xfId="18" applyNumberFormat="1" applyFont="1" applyFill="1" applyBorder="1" applyAlignment="1">
      <alignment horizontal="center" vertical="center"/>
    </xf>
    <xf numFmtId="168" fontId="0" fillId="20" borderId="23" xfId="18" applyNumberFormat="1" applyFont="1" applyFill="1" applyBorder="1" applyAlignment="1">
      <alignment horizontal="center" vertical="center"/>
    </xf>
    <xf numFmtId="168" fontId="0" fillId="20" borderId="18" xfId="18" applyNumberFormat="1" applyFont="1" applyFill="1" applyBorder="1" applyAlignment="1">
      <alignment horizontal="center" vertical="center"/>
    </xf>
    <xf numFmtId="168" fontId="0" fillId="20" borderId="17" xfId="18" applyNumberFormat="1" applyFont="1" applyFill="1" applyBorder="1" applyAlignment="1">
      <alignment horizontal="center" vertical="center"/>
    </xf>
    <xf numFmtId="168" fontId="0" fillId="20" borderId="1" xfId="18" applyNumberFormat="1" applyFont="1" applyFill="1" applyBorder="1" applyAlignment="1">
      <alignment horizontal="center" vertical="center"/>
    </xf>
    <xf numFmtId="168" fontId="0" fillId="20" borderId="21" xfId="18" applyNumberFormat="1" applyFont="1" applyFill="1" applyBorder="1" applyAlignment="1">
      <alignment horizontal="center" vertical="center"/>
    </xf>
    <xf numFmtId="0" fontId="7" fillId="3" borderId="44"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0" xfId="0" applyFont="1" applyFill="1" applyAlignment="1">
      <alignment horizontal="center" vertical="center"/>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 xfId="0" applyFont="1" applyFill="1" applyBorder="1" applyAlignment="1">
      <alignment horizontal="center" vertical="center"/>
    </xf>
    <xf numFmtId="166" fontId="0" fillId="3" borderId="44" xfId="18" applyNumberFormat="1" applyFont="1" applyFill="1" applyBorder="1" applyAlignment="1">
      <alignment horizontal="center" vertical="center"/>
    </xf>
    <xf numFmtId="166" fontId="0" fillId="3" borderId="27" xfId="18" applyNumberFormat="1" applyFont="1" applyFill="1" applyBorder="1" applyAlignment="1">
      <alignment horizontal="center" vertical="center"/>
    </xf>
    <xf numFmtId="166" fontId="0" fillId="3" borderId="26" xfId="18" applyNumberFormat="1" applyFont="1" applyFill="1" applyBorder="1" applyAlignment="1">
      <alignment horizontal="center" vertical="center"/>
    </xf>
    <xf numFmtId="168" fontId="0" fillId="3" borderId="26" xfId="18" applyNumberFormat="1" applyFont="1" applyFill="1" applyBorder="1" applyAlignment="1">
      <alignment horizontal="left" vertical="center"/>
    </xf>
    <xf numFmtId="168" fontId="0" fillId="3" borderId="44" xfId="18" applyNumberFormat="1" applyFont="1" applyFill="1" applyBorder="1" applyAlignment="1">
      <alignment horizontal="left" vertical="center"/>
    </xf>
    <xf numFmtId="168" fontId="0" fillId="3" borderId="27" xfId="18" applyNumberFormat="1" applyFont="1" applyFill="1" applyBorder="1" applyAlignment="1">
      <alignment horizontal="left" vertical="center"/>
    </xf>
    <xf numFmtId="164" fontId="0" fillId="3" borderId="44" xfId="18" applyNumberFormat="1" applyFont="1" applyFill="1" applyBorder="1" applyAlignment="1">
      <alignment horizontal="center" vertical="center"/>
    </xf>
    <xf numFmtId="164" fontId="0" fillId="3" borderId="27" xfId="18" applyNumberFormat="1"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Alignment="1">
      <alignment horizontal="center" vertical="center" wrapText="1"/>
    </xf>
    <xf numFmtId="0" fontId="7" fillId="3" borderId="19"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29" fillId="3" borderId="0" xfId="0" applyFont="1" applyFill="1" applyAlignment="1">
      <alignment horizontal="center" vertical="center" wrapText="1"/>
    </xf>
    <xf numFmtId="0" fontId="26" fillId="3" borderId="0" xfId="0" applyFont="1" applyFill="1" applyAlignment="1">
      <alignment horizontal="center" vertical="center" wrapText="1"/>
    </xf>
    <xf numFmtId="0" fontId="29" fillId="25" borderId="22" xfId="0" applyFont="1" applyFill="1" applyBorder="1" applyAlignment="1">
      <alignment horizontal="center" vertical="center" wrapText="1"/>
    </xf>
    <xf numFmtId="0" fontId="29" fillId="25" borderId="23" xfId="0" applyFont="1" applyFill="1" applyBorder="1" applyAlignment="1">
      <alignment horizontal="center" vertical="center" wrapText="1"/>
    </xf>
    <xf numFmtId="0" fontId="29" fillId="25" borderId="18" xfId="0" applyFont="1" applyFill="1" applyBorder="1" applyAlignment="1">
      <alignment horizontal="center" vertical="center" wrapText="1"/>
    </xf>
    <xf numFmtId="44" fontId="29" fillId="25" borderId="22" xfId="0" applyNumberFormat="1" applyFont="1" applyFill="1" applyBorder="1" applyAlignment="1">
      <alignment horizontal="center" vertical="center" wrapText="1"/>
    </xf>
    <xf numFmtId="44" fontId="29" fillId="25" borderId="23" xfId="0" applyNumberFormat="1" applyFont="1" applyFill="1" applyBorder="1" applyAlignment="1">
      <alignment horizontal="center" vertical="center" wrapText="1"/>
    </xf>
    <xf numFmtId="44" fontId="29" fillId="25" borderId="18" xfId="0" applyNumberFormat="1" applyFont="1" applyFill="1" applyBorder="1" applyAlignment="1">
      <alignment horizontal="center" vertical="center" wrapText="1"/>
    </xf>
    <xf numFmtId="168" fontId="0" fillId="3" borderId="44" xfId="18" applyNumberFormat="1" applyFont="1" applyFill="1" applyBorder="1" applyAlignment="1">
      <alignment horizontal="center" vertical="center"/>
    </xf>
    <xf numFmtId="168" fontId="0" fillId="3" borderId="27" xfId="18" applyNumberFormat="1" applyFont="1" applyFill="1" applyBorder="1" applyAlignment="1">
      <alignment horizontal="center" vertical="center"/>
    </xf>
    <xf numFmtId="168" fontId="24" fillId="15" borderId="15" xfId="18" applyNumberFormat="1" applyFont="1" applyFill="1" applyBorder="1" applyAlignment="1">
      <alignment horizontal="center" vertical="center"/>
    </xf>
    <xf numFmtId="168" fontId="24" fillId="15" borderId="19" xfId="18" applyNumberFormat="1" applyFont="1" applyFill="1" applyBorder="1" applyAlignment="1">
      <alignment horizontal="center" vertical="center"/>
    </xf>
    <xf numFmtId="164" fontId="0" fillId="3" borderId="0" xfId="18" applyFont="1" applyFill="1" applyBorder="1" applyAlignment="1">
      <alignment horizontal="center" vertical="center" wrapText="1"/>
    </xf>
    <xf numFmtId="168" fontId="29" fillId="7" borderId="13" xfId="18" applyNumberFormat="1" applyFont="1" applyFill="1" applyBorder="1" applyAlignment="1">
      <alignment horizontal="left" vertical="center" wrapText="1"/>
    </xf>
    <xf numFmtId="168" fontId="29" fillId="7" borderId="0" xfId="18" applyNumberFormat="1" applyFont="1" applyFill="1" applyBorder="1" applyAlignment="1">
      <alignment horizontal="left" vertical="center" wrapText="1"/>
    </xf>
    <xf numFmtId="168" fontId="7" fillId="12" borderId="13" xfId="18" applyNumberFormat="1" applyFont="1" applyFill="1" applyBorder="1" applyAlignment="1">
      <alignment horizontal="left" vertical="center" wrapText="1"/>
    </xf>
    <xf numFmtId="168" fontId="7" fillId="12" borderId="0" xfId="18" applyNumberFormat="1" applyFont="1" applyFill="1" applyBorder="1" applyAlignment="1">
      <alignment horizontal="left" vertical="center" wrapText="1"/>
    </xf>
    <xf numFmtId="168" fontId="0" fillId="3" borderId="13" xfId="18" applyNumberFormat="1" applyFont="1" applyFill="1" applyBorder="1" applyAlignment="1">
      <alignment horizontal="left" vertical="center" wrapText="1"/>
    </xf>
    <xf numFmtId="168" fontId="0" fillId="3" borderId="0" xfId="18" applyNumberFormat="1" applyFont="1" applyFill="1" applyBorder="1" applyAlignment="1">
      <alignment horizontal="left" vertical="center" wrapText="1"/>
    </xf>
    <xf numFmtId="168" fontId="10" fillId="3" borderId="19" xfId="18" applyNumberFormat="1" applyFont="1" applyFill="1" applyBorder="1" applyAlignment="1">
      <alignment horizontal="left" vertical="center" wrapText="1"/>
    </xf>
    <xf numFmtId="168" fontId="10" fillId="3" borderId="20" xfId="18" applyNumberFormat="1" applyFont="1" applyFill="1" applyBorder="1" applyAlignment="1">
      <alignment horizontal="left" vertical="center" wrapText="1"/>
    </xf>
    <xf numFmtId="168" fontId="29" fillId="7" borderId="19" xfId="18" applyNumberFormat="1" applyFont="1" applyFill="1" applyBorder="1" applyAlignment="1">
      <alignment horizontal="left" vertical="center" wrapText="1"/>
    </xf>
    <xf numFmtId="168" fontId="29" fillId="7" borderId="20" xfId="18" applyNumberFormat="1" applyFont="1" applyFill="1" applyBorder="1" applyAlignment="1">
      <alignment horizontal="left" vertical="center" wrapText="1"/>
    </xf>
    <xf numFmtId="168" fontId="10" fillId="3" borderId="13" xfId="18" applyNumberFormat="1" applyFont="1" applyFill="1" applyBorder="1" applyAlignment="1">
      <alignment horizontal="left" vertical="center" wrapText="1"/>
    </xf>
    <xf numFmtId="168" fontId="10" fillId="3" borderId="0" xfId="18" applyNumberFormat="1" applyFont="1" applyFill="1" applyBorder="1" applyAlignment="1">
      <alignment horizontal="left" vertical="center" wrapText="1"/>
    </xf>
    <xf numFmtId="164" fontId="10" fillId="3" borderId="13" xfId="18" applyFont="1" applyFill="1" applyBorder="1" applyAlignment="1">
      <alignment horizontal="left" vertical="center" wrapText="1"/>
    </xf>
    <xf numFmtId="164" fontId="10" fillId="3" borderId="0" xfId="18" applyFont="1" applyFill="1" applyBorder="1" applyAlignment="1">
      <alignment horizontal="left" vertical="center" wrapText="1"/>
    </xf>
    <xf numFmtId="9" fontId="58" fillId="11" borderId="13" xfId="15" applyFont="1" applyFill="1" applyBorder="1" applyAlignment="1">
      <alignment horizontal="left" vertical="center" wrapText="1"/>
    </xf>
    <xf numFmtId="9" fontId="58" fillId="11" borderId="0" xfId="15" applyFont="1" applyFill="1" applyBorder="1" applyAlignment="1">
      <alignment horizontal="left" vertical="center" wrapText="1"/>
    </xf>
    <xf numFmtId="0" fontId="40" fillId="3" borderId="16" xfId="18" applyNumberFormat="1" applyFont="1" applyFill="1" applyBorder="1" applyAlignment="1">
      <alignment horizontal="center" vertical="center"/>
    </xf>
    <xf numFmtId="0" fontId="40" fillId="3" borderId="17" xfId="18" applyNumberFormat="1" applyFont="1" applyFill="1" applyBorder="1" applyAlignment="1">
      <alignment horizontal="center" vertical="center"/>
    </xf>
    <xf numFmtId="0" fontId="40" fillId="3" borderId="20" xfId="18" applyNumberFormat="1" applyFont="1" applyFill="1" applyBorder="1" applyAlignment="1">
      <alignment horizontal="center" vertical="center"/>
    </xf>
    <xf numFmtId="0" fontId="40" fillId="3" borderId="21" xfId="18" applyNumberFormat="1" applyFont="1" applyFill="1" applyBorder="1" applyAlignment="1">
      <alignment horizontal="center" vertical="center"/>
    </xf>
    <xf numFmtId="164" fontId="29" fillId="7" borderId="15" xfId="18" applyFont="1" applyFill="1" applyBorder="1" applyAlignment="1">
      <alignment horizontal="center" vertical="center" wrapText="1"/>
    </xf>
    <xf numFmtId="164" fontId="29" fillId="7" borderId="16" xfId="18" applyFont="1" applyFill="1" applyBorder="1" applyAlignment="1">
      <alignment horizontal="center" vertical="center" wrapText="1"/>
    </xf>
    <xf numFmtId="164" fontId="29" fillId="7" borderId="13" xfId="18" applyFont="1" applyFill="1" applyBorder="1" applyAlignment="1">
      <alignment horizontal="center" vertical="center" wrapText="1"/>
    </xf>
    <xf numFmtId="164" fontId="29" fillId="7" borderId="0" xfId="18" applyFont="1" applyFill="1" applyBorder="1" applyAlignment="1">
      <alignment horizontal="center" vertical="center" wrapText="1"/>
    </xf>
    <xf numFmtId="164" fontId="29" fillId="7" borderId="19" xfId="18" applyFont="1" applyFill="1" applyBorder="1" applyAlignment="1">
      <alignment horizontal="center" vertical="center" wrapText="1"/>
    </xf>
    <xf numFmtId="164" fontId="29" fillId="7" borderId="20" xfId="18" applyFont="1" applyFill="1" applyBorder="1" applyAlignment="1">
      <alignment horizontal="center" vertical="center" wrapText="1"/>
    </xf>
    <xf numFmtId="164" fontId="29" fillId="7" borderId="13" xfId="18" applyFont="1" applyFill="1" applyBorder="1" applyAlignment="1">
      <alignment horizontal="left" vertical="center" wrapText="1"/>
    </xf>
    <xf numFmtId="164" fontId="29" fillId="7" borderId="0" xfId="18" applyFont="1" applyFill="1" applyBorder="1" applyAlignment="1">
      <alignment horizontal="left" vertical="center" wrapText="1"/>
    </xf>
    <xf numFmtId="168" fontId="10" fillId="12" borderId="13" xfId="18" applyNumberFormat="1" applyFont="1" applyFill="1" applyBorder="1" applyAlignment="1">
      <alignment horizontal="left" vertical="center" wrapText="1"/>
    </xf>
    <xf numFmtId="168" fontId="10" fillId="12" borderId="0" xfId="18" applyNumberFormat="1" applyFont="1" applyFill="1" applyBorder="1" applyAlignment="1">
      <alignment horizontal="left" vertical="center" wrapText="1"/>
    </xf>
    <xf numFmtId="0" fontId="40" fillId="3" borderId="157" xfId="18" applyNumberFormat="1" applyFont="1" applyFill="1" applyBorder="1" applyAlignment="1">
      <alignment horizontal="center" vertical="center"/>
    </xf>
    <xf numFmtId="0" fontId="40" fillId="3" borderId="108" xfId="18" applyNumberFormat="1" applyFont="1" applyFill="1" applyBorder="1" applyAlignment="1">
      <alignment horizontal="center" vertical="center"/>
    </xf>
    <xf numFmtId="0" fontId="40" fillId="3" borderId="15" xfId="18" applyNumberFormat="1" applyFont="1" applyFill="1" applyBorder="1" applyAlignment="1">
      <alignment horizontal="center" vertical="center"/>
    </xf>
    <xf numFmtId="0" fontId="40" fillId="3" borderId="19" xfId="18" applyNumberFormat="1" applyFont="1" applyFill="1" applyBorder="1" applyAlignment="1">
      <alignment horizontal="center" vertical="center"/>
    </xf>
    <xf numFmtId="0" fontId="40" fillId="4" borderId="15" xfId="0" applyFont="1" applyFill="1" applyBorder="1" applyAlignment="1">
      <alignment horizontal="center" vertical="center"/>
    </xf>
    <xf numFmtId="0" fontId="40" fillId="4" borderId="16" xfId="0" applyFont="1" applyFill="1" applyBorder="1" applyAlignment="1">
      <alignment horizontal="center" vertical="center"/>
    </xf>
    <xf numFmtId="0" fontId="40" fillId="4" borderId="17" xfId="0" applyFont="1" applyFill="1" applyBorder="1" applyAlignment="1">
      <alignment horizontal="center" vertical="center"/>
    </xf>
    <xf numFmtId="0" fontId="40" fillId="4" borderId="19" xfId="0" applyFont="1" applyFill="1" applyBorder="1" applyAlignment="1">
      <alignment horizontal="center" vertical="center"/>
    </xf>
    <xf numFmtId="0" fontId="40" fillId="4" borderId="20" xfId="0" applyFont="1" applyFill="1" applyBorder="1" applyAlignment="1">
      <alignment horizontal="center" vertical="center"/>
    </xf>
    <xf numFmtId="0" fontId="40" fillId="4" borderId="21" xfId="0" applyFont="1" applyFill="1" applyBorder="1" applyAlignment="1">
      <alignment horizontal="center" vertical="center"/>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26" fillId="4" borderId="22" xfId="0" applyFont="1" applyFill="1" applyBorder="1" applyAlignment="1">
      <alignment horizontal="center" vertical="center"/>
    </xf>
    <xf numFmtId="0" fontId="26" fillId="4" borderId="23"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3" xfId="0" applyFont="1" applyFill="1" applyBorder="1" applyAlignment="1">
      <alignment horizontal="center" vertical="center" wrapText="1"/>
    </xf>
    <xf numFmtId="168" fontId="7" fillId="3" borderId="22" xfId="18" applyNumberFormat="1" applyFont="1" applyFill="1" applyBorder="1" applyAlignment="1">
      <alignment horizontal="center" vertical="center" textRotation="45"/>
    </xf>
    <xf numFmtId="168" fontId="7" fillId="3" borderId="23" xfId="18" applyNumberFormat="1" applyFont="1" applyFill="1" applyBorder="1" applyAlignment="1">
      <alignment horizontal="center" vertical="center" textRotation="45"/>
    </xf>
    <xf numFmtId="168" fontId="7" fillId="3" borderId="18" xfId="18" applyNumberFormat="1" applyFont="1" applyFill="1" applyBorder="1" applyAlignment="1">
      <alignment horizontal="center" vertical="center" textRotation="45"/>
    </xf>
    <xf numFmtId="0" fontId="40" fillId="3" borderId="13" xfId="18" applyNumberFormat="1" applyFont="1" applyFill="1" applyBorder="1" applyAlignment="1">
      <alignment horizontal="center" vertical="center"/>
    </xf>
    <xf numFmtId="0" fontId="40" fillId="3" borderId="0" xfId="18" applyNumberFormat="1" applyFont="1" applyFill="1" applyBorder="1" applyAlignment="1">
      <alignment horizontal="center" vertical="center"/>
    </xf>
    <xf numFmtId="0" fontId="40" fillId="3" borderId="1" xfId="18" applyNumberFormat="1" applyFont="1" applyFill="1" applyBorder="1" applyAlignment="1">
      <alignment horizontal="center" vertical="center"/>
    </xf>
    <xf numFmtId="0" fontId="0" fillId="3" borderId="44" xfId="0" applyFill="1" applyBorder="1" applyAlignment="1">
      <alignment horizontal="center"/>
    </xf>
    <xf numFmtId="0" fontId="0" fillId="3" borderId="26" xfId="0" applyFill="1" applyBorder="1" applyAlignment="1">
      <alignment horizontal="center"/>
    </xf>
    <xf numFmtId="0" fontId="0" fillId="3" borderId="27" xfId="0" applyFill="1" applyBorder="1" applyAlignment="1">
      <alignment horizontal="center"/>
    </xf>
    <xf numFmtId="0" fontId="40" fillId="3" borderId="15" xfId="0" applyFont="1" applyFill="1" applyBorder="1" applyAlignment="1">
      <alignment horizontal="center" vertical="center"/>
    </xf>
    <xf numFmtId="0" fontId="40" fillId="3" borderId="16" xfId="0" applyFont="1" applyFill="1" applyBorder="1" applyAlignment="1">
      <alignment horizontal="center" vertical="center"/>
    </xf>
    <xf numFmtId="0" fontId="40" fillId="3" borderId="17" xfId="0" applyFont="1" applyFill="1" applyBorder="1" applyAlignment="1">
      <alignment horizontal="center" vertical="center"/>
    </xf>
    <xf numFmtId="0" fontId="40" fillId="3" borderId="19" xfId="0" applyFont="1" applyFill="1" applyBorder="1" applyAlignment="1">
      <alignment horizontal="center" vertical="center"/>
    </xf>
    <xf numFmtId="0" fontId="40" fillId="3" borderId="20" xfId="0" applyFont="1" applyFill="1" applyBorder="1" applyAlignment="1">
      <alignment horizontal="center" vertical="center"/>
    </xf>
    <xf numFmtId="0" fontId="40" fillId="3" borderId="21" xfId="0" applyFont="1" applyFill="1" applyBorder="1" applyAlignment="1">
      <alignment horizontal="center" vertical="center"/>
    </xf>
    <xf numFmtId="0" fontId="29" fillId="15" borderId="22" xfId="0" applyFont="1" applyFill="1" applyBorder="1" applyAlignment="1">
      <alignment horizontal="center" vertical="center" wrapText="1"/>
    </xf>
    <xf numFmtId="0" fontId="29" fillId="15" borderId="18" xfId="0" applyFont="1" applyFill="1" applyBorder="1" applyAlignment="1">
      <alignment horizontal="center" vertical="center" wrapText="1"/>
    </xf>
    <xf numFmtId="0" fontId="7" fillId="3" borderId="19" xfId="0" applyFont="1" applyFill="1" applyBorder="1" applyAlignment="1">
      <alignment horizontal="center" vertical="center"/>
    </xf>
    <xf numFmtId="0" fontId="7" fillId="3" borderId="21" xfId="0" applyFont="1" applyFill="1" applyBorder="1" applyAlignment="1">
      <alignment horizontal="center" vertical="center"/>
    </xf>
    <xf numFmtId="0" fontId="40" fillId="3" borderId="60" xfId="0" applyFont="1" applyFill="1" applyBorder="1" applyAlignment="1">
      <alignment horizontal="center"/>
    </xf>
    <xf numFmtId="0" fontId="40" fillId="3" borderId="158" xfId="0" applyFont="1" applyFill="1" applyBorder="1" applyAlignment="1">
      <alignment horizontal="center"/>
    </xf>
    <xf numFmtId="0" fontId="40" fillId="3" borderId="159" xfId="0" applyFont="1" applyFill="1" applyBorder="1" applyAlignment="1">
      <alignment horizontal="center"/>
    </xf>
    <xf numFmtId="0" fontId="33" fillId="3" borderId="0" xfId="0" applyFont="1" applyFill="1" applyBorder="1" applyAlignment="1">
      <alignment horizontal="center" vertical="center"/>
    </xf>
    <xf numFmtId="0" fontId="24" fillId="3" borderId="0" xfId="0" applyFont="1" applyFill="1" applyBorder="1" applyAlignment="1">
      <alignment horizontal="center"/>
    </xf>
    <xf numFmtId="1" fontId="29" fillId="9" borderId="44" xfId="0" applyNumberFormat="1" applyFont="1" applyFill="1" applyBorder="1" applyAlignment="1">
      <alignment horizontal="center" vertical="center" wrapText="1"/>
    </xf>
    <xf numFmtId="1" fontId="29" fillId="9" borderId="27" xfId="0" applyNumberFormat="1" applyFont="1" applyFill="1" applyBorder="1" applyAlignment="1">
      <alignment horizontal="center" vertical="center" wrapText="1"/>
    </xf>
    <xf numFmtId="44" fontId="0" fillId="3" borderId="0" xfId="16" applyFont="1" applyFill="1" applyAlignment="1">
      <alignment horizontal="left" vertical="center" wrapText="1"/>
    </xf>
    <xf numFmtId="44" fontId="42" fillId="3" borderId="15" xfId="16" applyFont="1" applyFill="1" applyBorder="1" applyAlignment="1">
      <alignment horizontal="center" vertical="center"/>
    </xf>
    <xf numFmtId="44" fontId="42" fillId="3" borderId="16" xfId="16" applyFont="1" applyFill="1" applyBorder="1" applyAlignment="1">
      <alignment horizontal="center" vertical="center"/>
    </xf>
    <xf numFmtId="44" fontId="42" fillId="3" borderId="17" xfId="16" applyFont="1" applyFill="1" applyBorder="1" applyAlignment="1">
      <alignment horizontal="center" vertical="center"/>
    </xf>
    <xf numFmtId="44" fontId="42" fillId="3" borderId="19" xfId="16" applyFont="1" applyFill="1" applyBorder="1" applyAlignment="1">
      <alignment horizontal="center" vertical="center"/>
    </xf>
    <xf numFmtId="44" fontId="42" fillId="3" borderId="20" xfId="16" applyFont="1" applyFill="1" applyBorder="1" applyAlignment="1">
      <alignment horizontal="center" vertical="center"/>
    </xf>
    <xf numFmtId="44" fontId="42" fillId="3" borderId="21" xfId="16" applyFont="1" applyFill="1" applyBorder="1" applyAlignment="1">
      <alignment horizontal="center" vertical="center"/>
    </xf>
    <xf numFmtId="0" fontId="92" fillId="3" borderId="13" xfId="0" applyFont="1" applyFill="1" applyBorder="1" applyAlignment="1">
      <alignment horizontal="left" vertical="center" wrapText="1"/>
    </xf>
    <xf numFmtId="0" fontId="92" fillId="3" borderId="0" xfId="0" applyFont="1" applyFill="1" applyBorder="1" applyAlignment="1">
      <alignment horizontal="left" vertical="center" wrapText="1"/>
    </xf>
    <xf numFmtId="0" fontId="106" fillId="3" borderId="60" xfId="0" applyFont="1" applyFill="1" applyBorder="1" applyAlignment="1">
      <alignment horizontal="left" vertical="center"/>
    </xf>
    <xf numFmtId="0" fontId="106" fillId="3" borderId="158" xfId="0" applyFont="1" applyFill="1" applyBorder="1" applyAlignment="1">
      <alignment horizontal="left" vertical="center"/>
    </xf>
    <xf numFmtId="0" fontId="106" fillId="3" borderId="159" xfId="0" applyFont="1" applyFill="1" applyBorder="1" applyAlignment="1">
      <alignment horizontal="left" vertical="center"/>
    </xf>
    <xf numFmtId="0" fontId="92" fillId="3" borderId="128" xfId="0" applyFont="1" applyFill="1" applyBorder="1" applyAlignment="1">
      <alignment horizontal="left" vertical="center" wrapText="1"/>
    </xf>
    <xf numFmtId="0" fontId="29" fillId="21" borderId="130" xfId="0" applyFont="1" applyFill="1" applyBorder="1" applyAlignment="1">
      <alignment horizontal="left" vertical="center"/>
    </xf>
    <xf numFmtId="0" fontId="29" fillId="21" borderId="131" xfId="0" applyFont="1" applyFill="1" applyBorder="1" applyAlignment="1">
      <alignment horizontal="left" vertical="center"/>
    </xf>
    <xf numFmtId="0" fontId="29" fillId="21" borderId="64" xfId="0" applyFont="1" applyFill="1" applyBorder="1" applyAlignment="1">
      <alignment horizontal="left" vertical="center"/>
    </xf>
    <xf numFmtId="0" fontId="29" fillId="21" borderId="60" xfId="0" applyFont="1" applyFill="1" applyBorder="1" applyAlignment="1">
      <alignment horizontal="left" vertical="center"/>
    </xf>
    <xf numFmtId="0" fontId="29" fillId="21" borderId="158" xfId="0" applyFont="1" applyFill="1" applyBorder="1" applyAlignment="1">
      <alignment horizontal="left" vertical="center"/>
    </xf>
    <xf numFmtId="0" fontId="29" fillId="21" borderId="159" xfId="0" applyFont="1" applyFill="1" applyBorder="1" applyAlignment="1">
      <alignment horizontal="left" vertical="center"/>
    </xf>
    <xf numFmtId="0" fontId="29" fillId="25" borderId="15" xfId="0" applyFont="1" applyFill="1" applyBorder="1" applyAlignment="1">
      <alignment horizontal="center" vertical="center" wrapText="1"/>
    </xf>
    <xf numFmtId="0" fontId="29" fillId="25" borderId="17" xfId="0" applyFont="1" applyFill="1" applyBorder="1" applyAlignment="1">
      <alignment horizontal="center" vertical="center" wrapText="1"/>
    </xf>
    <xf numFmtId="0" fontId="29" fillId="25" borderId="13" xfId="0" applyFont="1" applyFill="1" applyBorder="1" applyAlignment="1">
      <alignment horizontal="center" vertical="center" wrapText="1"/>
    </xf>
    <xf numFmtId="0" fontId="29" fillId="25" borderId="1" xfId="0" applyFont="1" applyFill="1" applyBorder="1" applyAlignment="1">
      <alignment horizontal="center" vertical="center" wrapText="1"/>
    </xf>
    <xf numFmtId="0" fontId="29" fillId="25" borderId="19" xfId="0" applyFont="1" applyFill="1" applyBorder="1" applyAlignment="1">
      <alignment horizontal="center" vertical="center" wrapText="1"/>
    </xf>
    <xf numFmtId="0" fontId="29" fillId="25" borderId="21" xfId="0" applyFont="1" applyFill="1" applyBorder="1" applyAlignment="1">
      <alignment horizontal="center" vertical="center" wrapText="1"/>
    </xf>
    <xf numFmtId="0" fontId="0" fillId="3" borderId="128" xfId="0" applyFont="1" applyFill="1" applyBorder="1" applyAlignment="1">
      <alignment horizontal="left" vertical="center" wrapText="1"/>
    </xf>
    <xf numFmtId="0" fontId="0" fillId="3" borderId="0" xfId="0" applyFont="1" applyFill="1" applyBorder="1" applyAlignment="1">
      <alignment horizontal="left" vertical="center" wrapText="1"/>
    </xf>
    <xf numFmtId="0" fontId="106" fillId="3" borderId="60" xfId="0" applyFont="1" applyFill="1" applyBorder="1" applyAlignment="1">
      <alignment horizontal="center" vertical="center"/>
    </xf>
    <xf numFmtId="0" fontId="106" fillId="3" borderId="158" xfId="0" applyFont="1" applyFill="1" applyBorder="1" applyAlignment="1">
      <alignment horizontal="center" vertical="center"/>
    </xf>
    <xf numFmtId="0" fontId="106" fillId="3" borderId="159" xfId="0" applyFont="1" applyFill="1" applyBorder="1" applyAlignment="1">
      <alignment horizontal="center" vertical="center"/>
    </xf>
    <xf numFmtId="9" fontId="7" fillId="3" borderId="160" xfId="0" applyNumberFormat="1" applyFont="1" applyFill="1" applyBorder="1" applyAlignment="1">
      <alignment horizontal="center" vertical="center"/>
    </xf>
    <xf numFmtId="9" fontId="7" fillId="3" borderId="161" xfId="0" applyNumberFormat="1" applyFont="1" applyFill="1" applyBorder="1" applyAlignment="1">
      <alignment horizontal="center" vertical="center"/>
    </xf>
    <xf numFmtId="0" fontId="7" fillId="3" borderId="6" xfId="0" applyFont="1" applyFill="1" applyBorder="1" applyAlignment="1">
      <alignment horizontal="center" vertical="center"/>
    </xf>
    <xf numFmtId="0" fontId="7" fillId="3" borderId="12" xfId="0" applyFont="1" applyFill="1" applyBorder="1" applyAlignment="1">
      <alignment horizontal="center" vertical="center"/>
    </xf>
    <xf numFmtId="183" fontId="0" fillId="3" borderId="2" xfId="0" applyNumberFormat="1" applyFill="1" applyBorder="1" applyAlignment="1">
      <alignment horizontal="center" vertical="center"/>
    </xf>
    <xf numFmtId="183" fontId="0" fillId="3" borderId="9" xfId="0" applyNumberFormat="1" applyFill="1" applyBorder="1" applyAlignment="1">
      <alignment horizontal="center" vertical="center"/>
    </xf>
    <xf numFmtId="0" fontId="29" fillId="21" borderId="162" xfId="0" applyFont="1" applyFill="1" applyBorder="1" applyAlignment="1">
      <alignment horizontal="left" vertical="center"/>
    </xf>
    <xf numFmtId="0" fontId="29" fillId="21" borderId="163" xfId="0" applyFont="1" applyFill="1" applyBorder="1" applyAlignment="1">
      <alignment horizontal="left" vertical="center"/>
    </xf>
    <xf numFmtId="0" fontId="29" fillId="21" borderId="164" xfId="0" applyFont="1" applyFill="1" applyBorder="1" applyAlignment="1">
      <alignment horizontal="left" vertical="center"/>
    </xf>
    <xf numFmtId="0" fontId="23" fillId="3" borderId="13"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0" xfId="0" applyFont="1" applyFill="1" applyBorder="1" applyAlignment="1">
      <alignment horizontal="left" wrapText="1"/>
    </xf>
    <xf numFmtId="0" fontId="77" fillId="17" borderId="165" xfId="0" applyFont="1" applyFill="1" applyBorder="1" applyAlignment="1">
      <alignment horizontal="center" vertical="center"/>
    </xf>
    <xf numFmtId="0" fontId="77" fillId="17" borderId="166" xfId="0" applyFont="1" applyFill="1" applyBorder="1" applyAlignment="1">
      <alignment horizontal="center" vertical="center"/>
    </xf>
    <xf numFmtId="178" fontId="77" fillId="17" borderId="165" xfId="0" applyNumberFormat="1" applyFont="1" applyFill="1" applyBorder="1" applyAlignment="1">
      <alignment horizontal="center" vertical="center"/>
    </xf>
    <xf numFmtId="178" fontId="77" fillId="17" borderId="77" xfId="0" applyNumberFormat="1" applyFont="1" applyFill="1" applyBorder="1" applyAlignment="1">
      <alignment horizontal="center" vertical="center"/>
    </xf>
    <xf numFmtId="0" fontId="78" fillId="17" borderId="83" xfId="0" applyFont="1" applyFill="1" applyBorder="1" applyAlignment="1">
      <alignment horizontal="center" vertical="center"/>
    </xf>
    <xf numFmtId="0" fontId="63" fillId="0" borderId="84" xfId="0" applyFont="1" applyBorder="1"/>
    <xf numFmtId="0" fontId="63" fillId="0" borderId="86" xfId="0" applyFont="1" applyBorder="1"/>
    <xf numFmtId="178" fontId="78" fillId="17" borderId="83" xfId="0" applyNumberFormat="1" applyFont="1" applyFill="1" applyBorder="1" applyAlignment="1">
      <alignment horizontal="center" vertical="center"/>
    </xf>
    <xf numFmtId="0" fontId="63" fillId="0" borderId="167" xfId="0" applyFont="1" applyBorder="1"/>
    <xf numFmtId="0" fontId="7" fillId="3" borderId="44"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0" xfId="0" applyFont="1" applyFill="1" applyAlignment="1">
      <alignment horizontal="center"/>
    </xf>
    <xf numFmtId="0" fontId="40" fillId="3" borderId="44" xfId="0" applyFont="1" applyFill="1" applyBorder="1" applyAlignment="1">
      <alignment horizontal="center"/>
    </xf>
    <xf numFmtId="0" fontId="40" fillId="3" borderId="27" xfId="0" applyFont="1" applyFill="1" applyBorder="1" applyAlignment="1">
      <alignment horizontal="center"/>
    </xf>
    <xf numFmtId="0" fontId="28" fillId="21" borderId="15" xfId="0" applyFont="1" applyFill="1" applyBorder="1" applyAlignment="1">
      <alignment horizontal="center" vertical="center" wrapText="1"/>
    </xf>
    <xf numFmtId="0" fontId="28" fillId="21" borderId="17" xfId="0" applyFont="1" applyFill="1" applyBorder="1" applyAlignment="1">
      <alignment horizontal="center" vertical="center" wrapText="1"/>
    </xf>
    <xf numFmtId="0" fontId="28" fillId="21" borderId="13" xfId="0" applyFont="1" applyFill="1" applyBorder="1" applyAlignment="1">
      <alignment horizontal="center" vertical="center" wrapText="1"/>
    </xf>
    <xf numFmtId="0" fontId="28" fillId="21" borderId="1" xfId="0" applyFont="1" applyFill="1" applyBorder="1" applyAlignment="1">
      <alignment horizontal="center" vertical="center" wrapText="1"/>
    </xf>
    <xf numFmtId="0" fontId="28" fillId="21" borderId="19" xfId="0" applyFont="1" applyFill="1" applyBorder="1" applyAlignment="1">
      <alignment horizontal="center" vertical="center" wrapText="1"/>
    </xf>
    <xf numFmtId="0" fontId="28" fillId="21" borderId="21" xfId="0" applyFont="1" applyFill="1" applyBorder="1" applyAlignment="1">
      <alignment horizontal="center" vertical="center" wrapText="1"/>
    </xf>
    <xf numFmtId="0" fontId="99" fillId="3" borderId="60" xfId="0" applyFont="1" applyFill="1" applyBorder="1" applyAlignment="1">
      <alignment horizontal="left"/>
    </xf>
    <xf numFmtId="0" fontId="99" fillId="3" borderId="158" xfId="0" applyFont="1" applyFill="1" applyBorder="1" applyAlignment="1">
      <alignment horizontal="left"/>
    </xf>
    <xf numFmtId="0" fontId="99" fillId="3" borderId="159" xfId="0" applyFont="1" applyFill="1" applyBorder="1" applyAlignment="1">
      <alignment horizontal="left"/>
    </xf>
    <xf numFmtId="0" fontId="46" fillId="7" borderId="22" xfId="0" applyFont="1" applyFill="1" applyBorder="1" applyAlignment="1">
      <alignment horizontal="center" vertical="center" wrapText="1"/>
    </xf>
    <xf numFmtId="0" fontId="46" fillId="7" borderId="23" xfId="0" applyFont="1" applyFill="1" applyBorder="1" applyAlignment="1">
      <alignment horizontal="center" vertical="center" wrapText="1"/>
    </xf>
    <xf numFmtId="0" fontId="46" fillId="7" borderId="18" xfId="0" applyFont="1" applyFill="1" applyBorder="1" applyAlignment="1">
      <alignment horizontal="center" vertical="center" wrapText="1"/>
    </xf>
    <xf numFmtId="0" fontId="19" fillId="3" borderId="0" xfId="0" applyFont="1" applyFill="1" applyAlignment="1">
      <alignment horizontal="center" vertical="center" textRotation="90"/>
    </xf>
  </cellXfs>
  <cellStyles count="2212">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 name="Hyperlink" xfId="40"/>
    <cellStyle name="Followed Hyperlink" xfId="41"/>
    <cellStyle name="Hyperlink" xfId="42"/>
    <cellStyle name="Followed Hyperlink" xfId="43"/>
    <cellStyle name="Hyperlink" xfId="44"/>
    <cellStyle name="Followed Hyperlink" xfId="45"/>
    <cellStyle name="Hyperlink" xfId="46"/>
    <cellStyle name="Followed Hyperlink" xfId="47"/>
    <cellStyle name="Hyperlink" xfId="48"/>
    <cellStyle name="Followed Hyperlink" xfId="49"/>
    <cellStyle name="Hyperlink" xfId="50"/>
    <cellStyle name="Followed Hyperlink" xfId="51"/>
    <cellStyle name="Hyperlink" xfId="52"/>
    <cellStyle name="Followed Hyperlink" xfId="53"/>
    <cellStyle name="Hyperlink" xfId="54"/>
    <cellStyle name="Followed Hyperlink" xfId="55"/>
    <cellStyle name="Hyperlink" xfId="56"/>
    <cellStyle name="Followed Hyperlink" xfId="57"/>
    <cellStyle name="Hyperlink" xfId="58"/>
    <cellStyle name="Followed Hyperlink" xfId="59"/>
    <cellStyle name="Hyperlink" xfId="60"/>
    <cellStyle name="Followed Hyperlink" xfId="61"/>
    <cellStyle name="Hyperlink" xfId="62"/>
    <cellStyle name="Followed Hyperlink" xfId="63"/>
    <cellStyle name="Hyperlink" xfId="64"/>
    <cellStyle name="Followed Hyperlink" xfId="65"/>
    <cellStyle name="Hyperlink" xfId="66"/>
    <cellStyle name="Followed Hyperlink" xfId="67"/>
    <cellStyle name="Hyperlink" xfId="68"/>
    <cellStyle name="Followed Hyperlink" xfId="69"/>
    <cellStyle name="Hyperlink" xfId="70"/>
    <cellStyle name="Followed Hyperlink" xfId="71"/>
    <cellStyle name="Hyperlink" xfId="72"/>
    <cellStyle name="Followed Hyperlink" xfId="73"/>
    <cellStyle name="Hyperlink" xfId="74"/>
    <cellStyle name="Followed Hyperlink" xfId="75"/>
    <cellStyle name="Hyperlink" xfId="76"/>
    <cellStyle name="Followed Hyperlink" xfId="77"/>
    <cellStyle name="Hyperlink" xfId="78"/>
    <cellStyle name="Followed Hyperlink" xfId="79"/>
    <cellStyle name="Hyperlink" xfId="80"/>
    <cellStyle name="Followed Hyperlink" xfId="81"/>
    <cellStyle name="Hyperlink" xfId="82"/>
    <cellStyle name="Followed Hyperlink" xfId="83"/>
    <cellStyle name="Hyperlink" xfId="84"/>
    <cellStyle name="Followed Hyperlink" xfId="85"/>
    <cellStyle name="Hyperlink" xfId="86"/>
    <cellStyle name="Followed Hyperlink" xfId="87"/>
    <cellStyle name="Hyperlink" xfId="88"/>
    <cellStyle name="Followed Hyperlink" xfId="89"/>
    <cellStyle name="Hyperlink" xfId="90"/>
    <cellStyle name="Followed Hyperlink" xfId="91"/>
    <cellStyle name="Hyperlink" xfId="92"/>
    <cellStyle name="Followed Hyperlink" xfId="93"/>
    <cellStyle name="Hyperlink" xfId="94"/>
    <cellStyle name="Followed Hyperlink" xfId="95"/>
    <cellStyle name="Hyperlink" xfId="96"/>
    <cellStyle name="Followed Hyperlink" xfId="97"/>
    <cellStyle name="Hyperlink" xfId="98"/>
    <cellStyle name="Followed Hyperlink" xfId="99"/>
    <cellStyle name="Hyperlink" xfId="100"/>
    <cellStyle name="Followed Hyperlink" xfId="101"/>
    <cellStyle name="Hyperlink" xfId="102"/>
    <cellStyle name="Followed Hyperlink" xfId="103"/>
    <cellStyle name="Hyperlink" xfId="104"/>
    <cellStyle name="Followed Hyperlink" xfId="105"/>
    <cellStyle name="Hyperlink" xfId="106"/>
    <cellStyle name="Followed Hyperlink" xfId="107"/>
    <cellStyle name="Hyperlink" xfId="108"/>
    <cellStyle name="Followed Hyperlink" xfId="109"/>
    <cellStyle name="Hyperlink" xfId="110"/>
    <cellStyle name="Followed Hyperlink" xfId="111"/>
    <cellStyle name="Hyperlink" xfId="112"/>
    <cellStyle name="Followed Hyperlink" xfId="113"/>
    <cellStyle name="Hyperlink" xfId="114"/>
    <cellStyle name="Followed Hyperlink" xfId="115"/>
    <cellStyle name="Hyperlink" xfId="116"/>
    <cellStyle name="Followed Hyperlink" xfId="117"/>
    <cellStyle name="Hyperlink" xfId="118"/>
    <cellStyle name="Followed Hyperlink" xfId="119"/>
    <cellStyle name="Hyperlink" xfId="120"/>
    <cellStyle name="Followed Hyperlink" xfId="121"/>
    <cellStyle name="Hyperlink" xfId="122"/>
    <cellStyle name="Followed Hyperlink" xfId="123"/>
    <cellStyle name="Hyperlink" xfId="124"/>
    <cellStyle name="Followed Hyperlink" xfId="125"/>
    <cellStyle name="Hyperlink" xfId="126"/>
    <cellStyle name="Followed Hyperlink" xfId="127"/>
    <cellStyle name="Hyperlink" xfId="128"/>
    <cellStyle name="Followed Hyperlink" xfId="129"/>
    <cellStyle name="Hyperlink" xfId="130"/>
    <cellStyle name="Followed Hyperlink" xfId="131"/>
    <cellStyle name="Hyperlink" xfId="132"/>
    <cellStyle name="Followed Hyperlink" xfId="133"/>
    <cellStyle name="Hyperlink" xfId="134"/>
    <cellStyle name="Followed Hyperlink" xfId="135"/>
    <cellStyle name="Hyperlink" xfId="136"/>
    <cellStyle name="Followed Hyperlink" xfId="137"/>
    <cellStyle name="Hyperlink" xfId="138"/>
    <cellStyle name="Followed Hyperlink" xfId="139"/>
    <cellStyle name="Hyperlink" xfId="140"/>
    <cellStyle name="Followed Hyperlink" xfId="141"/>
    <cellStyle name="Hyperlink" xfId="142"/>
    <cellStyle name="Followed Hyperlink" xfId="143"/>
    <cellStyle name="Hyperlink" xfId="144"/>
    <cellStyle name="Followed Hyperlink" xfId="145"/>
    <cellStyle name="Hyperlink" xfId="146"/>
    <cellStyle name="Followed Hyperlink" xfId="147"/>
    <cellStyle name="Hyperlink" xfId="148"/>
    <cellStyle name="Followed Hyperlink" xfId="149"/>
    <cellStyle name="Hyperlink" xfId="150"/>
    <cellStyle name="Followed Hyperlink" xfId="151"/>
    <cellStyle name="Hyperlink" xfId="152"/>
    <cellStyle name="Followed Hyperlink" xfId="153"/>
    <cellStyle name="Hyperlink" xfId="154"/>
    <cellStyle name="Followed Hyperlink" xfId="155"/>
    <cellStyle name="Hyperlink" xfId="156"/>
    <cellStyle name="Followed Hyperlink" xfId="157"/>
    <cellStyle name="Hyperlink" xfId="158"/>
    <cellStyle name="Followed Hyperlink" xfId="159"/>
    <cellStyle name="Hyperlink" xfId="160"/>
    <cellStyle name="Followed Hyperlink" xfId="161"/>
    <cellStyle name="Hyperlink" xfId="162"/>
    <cellStyle name="Followed Hyperlink" xfId="163"/>
    <cellStyle name="Hyperlink" xfId="164"/>
    <cellStyle name="Followed Hyperlink" xfId="165"/>
    <cellStyle name="Hyperlink" xfId="166"/>
    <cellStyle name="Followed Hyperlink" xfId="167"/>
    <cellStyle name="Hyperlink" xfId="168"/>
    <cellStyle name="Followed Hyperlink" xfId="169"/>
    <cellStyle name="Hyperlink" xfId="170"/>
    <cellStyle name="Followed Hyperlink" xfId="171"/>
    <cellStyle name="Hyperlink" xfId="172"/>
    <cellStyle name="Followed Hyperlink" xfId="173"/>
    <cellStyle name="Hyperlink" xfId="174"/>
    <cellStyle name="Followed Hyperlink" xfId="175"/>
    <cellStyle name="Hyperlink" xfId="176"/>
    <cellStyle name="Followed Hyperlink" xfId="177"/>
    <cellStyle name="Hyperlink" xfId="178"/>
    <cellStyle name="Followed Hyperlink" xfId="179"/>
    <cellStyle name="Hyperlink" xfId="180"/>
    <cellStyle name="Followed Hyperlink" xfId="181"/>
    <cellStyle name="Hyperlink" xfId="182"/>
    <cellStyle name="Followed Hyperlink" xfId="183"/>
    <cellStyle name="Hyperlink" xfId="184"/>
    <cellStyle name="Followed Hyperlink" xfId="185"/>
    <cellStyle name="Hyperlink" xfId="186"/>
    <cellStyle name="Followed Hyperlink" xfId="187"/>
    <cellStyle name="Hyperlink" xfId="188"/>
    <cellStyle name="Followed Hyperlink" xfId="189"/>
    <cellStyle name="Hyperlink" xfId="190"/>
    <cellStyle name="Followed Hyperlink" xfId="191"/>
    <cellStyle name="Hyperlink" xfId="192"/>
    <cellStyle name="Followed Hyperlink" xfId="193"/>
    <cellStyle name="Hyperlink" xfId="194"/>
    <cellStyle name="Followed Hyperlink" xfId="195"/>
    <cellStyle name="Hyperlink" xfId="196"/>
    <cellStyle name="Followed Hyperlink" xfId="197"/>
    <cellStyle name="Hyperlink" xfId="198"/>
    <cellStyle name="Followed Hyperlink" xfId="199"/>
    <cellStyle name="Hyperlink" xfId="200"/>
    <cellStyle name="Followed Hyperlink" xfId="201"/>
    <cellStyle name="Hyperlink" xfId="202"/>
    <cellStyle name="Followed Hyperlink" xfId="203"/>
    <cellStyle name="Hyperlink" xfId="204"/>
    <cellStyle name="Followed Hyperlink" xfId="205"/>
    <cellStyle name="Hyperlink" xfId="206"/>
    <cellStyle name="Followed Hyperlink" xfId="207"/>
    <cellStyle name="Hyperlink" xfId="208"/>
    <cellStyle name="Followed Hyperlink" xfId="209"/>
    <cellStyle name="Hyperlink" xfId="210"/>
    <cellStyle name="Followed Hyperlink" xfId="211"/>
    <cellStyle name="Hyperlink" xfId="212"/>
    <cellStyle name="Followed Hyperlink" xfId="213"/>
    <cellStyle name="Hyperlink" xfId="214"/>
    <cellStyle name="Followed Hyperlink" xfId="215"/>
    <cellStyle name="Hyperlink" xfId="216"/>
    <cellStyle name="Followed Hyperlink" xfId="217"/>
    <cellStyle name="Hyperlink" xfId="218"/>
    <cellStyle name="Followed Hyperlink" xfId="219"/>
    <cellStyle name="Hyperlink" xfId="220"/>
    <cellStyle name="Followed Hyperlink" xfId="221"/>
    <cellStyle name="Hyperlink" xfId="222"/>
    <cellStyle name="Followed Hyperlink" xfId="223"/>
    <cellStyle name="Hyperlink" xfId="224"/>
    <cellStyle name="Followed Hyperlink" xfId="225"/>
    <cellStyle name="Hyperlink" xfId="226"/>
    <cellStyle name="Followed Hyperlink" xfId="227"/>
    <cellStyle name="Hyperlink" xfId="228"/>
    <cellStyle name="Followed Hyperlink" xfId="229"/>
    <cellStyle name="Hyperlink" xfId="230"/>
    <cellStyle name="Followed Hyperlink" xfId="231"/>
    <cellStyle name="Hyperlink" xfId="232"/>
    <cellStyle name="Followed Hyperlink" xfId="233"/>
    <cellStyle name="Hyperlink" xfId="234"/>
    <cellStyle name="Followed Hyperlink" xfId="235"/>
    <cellStyle name="Hyperlink" xfId="236"/>
    <cellStyle name="Followed Hyperlink" xfId="237"/>
    <cellStyle name="Hyperlink" xfId="238"/>
    <cellStyle name="Followed Hyperlink" xfId="239"/>
    <cellStyle name="Hyperlink" xfId="240"/>
    <cellStyle name="Followed Hyperlink" xfId="241"/>
    <cellStyle name="Hyperlink" xfId="242"/>
    <cellStyle name="Followed Hyperlink" xfId="243"/>
    <cellStyle name="Hyperlink" xfId="244"/>
    <cellStyle name="Followed Hyperlink" xfId="245"/>
    <cellStyle name="Hyperlink" xfId="246"/>
    <cellStyle name="Followed Hyperlink" xfId="247"/>
    <cellStyle name="Hyperlink" xfId="248"/>
    <cellStyle name="Followed Hyperlink" xfId="249"/>
    <cellStyle name="Hyperlink" xfId="250"/>
    <cellStyle name="Followed Hyperlink" xfId="251"/>
    <cellStyle name="Hyperlink" xfId="252"/>
    <cellStyle name="Followed Hyperlink" xfId="253"/>
    <cellStyle name="Hyperlink" xfId="254"/>
    <cellStyle name="Followed Hyperlink" xfId="255"/>
    <cellStyle name="Hyperlink" xfId="256"/>
    <cellStyle name="Followed Hyperlink" xfId="257"/>
    <cellStyle name="Hyperlink" xfId="258"/>
    <cellStyle name="Followed Hyperlink" xfId="259"/>
    <cellStyle name="Hyperlink" xfId="260"/>
    <cellStyle name="Followed Hyperlink" xfId="261"/>
    <cellStyle name="Hyperlink" xfId="262"/>
    <cellStyle name="Followed Hyperlink" xfId="263"/>
    <cellStyle name="Hyperlink" xfId="264"/>
    <cellStyle name="Followed Hyperlink" xfId="265"/>
    <cellStyle name="Hyperlink" xfId="266"/>
    <cellStyle name="Followed Hyperlink" xfId="267"/>
    <cellStyle name="Hyperlink" xfId="268"/>
    <cellStyle name="Followed Hyperlink" xfId="269"/>
    <cellStyle name="Hyperlink" xfId="270"/>
    <cellStyle name="Followed Hyperlink" xfId="271"/>
    <cellStyle name="Hyperlink" xfId="272"/>
    <cellStyle name="Followed Hyperlink" xfId="273"/>
    <cellStyle name="Hyperlink" xfId="274"/>
    <cellStyle name="Followed Hyperlink" xfId="275"/>
    <cellStyle name="Hyperlink" xfId="276"/>
    <cellStyle name="Followed Hyperlink" xfId="277"/>
    <cellStyle name="Hyperlink" xfId="278"/>
    <cellStyle name="Followed Hyperlink" xfId="279"/>
    <cellStyle name="Hyperlink" xfId="280"/>
    <cellStyle name="Followed Hyperlink" xfId="281"/>
    <cellStyle name="Hyperlink" xfId="282"/>
    <cellStyle name="Followed Hyperlink" xfId="283"/>
    <cellStyle name="Hyperlink" xfId="284"/>
    <cellStyle name="Followed Hyperlink" xfId="285"/>
    <cellStyle name="Hyperlink" xfId="286"/>
    <cellStyle name="Followed Hyperlink" xfId="287"/>
    <cellStyle name="Hyperlink" xfId="288"/>
    <cellStyle name="Followed Hyperlink" xfId="289"/>
    <cellStyle name="Hyperlink" xfId="290"/>
    <cellStyle name="Followed Hyperlink" xfId="291"/>
    <cellStyle name="Hyperlink" xfId="292"/>
    <cellStyle name="Followed Hyperlink" xfId="293"/>
    <cellStyle name="Hyperlink" xfId="294"/>
    <cellStyle name="Followed Hyperlink" xfId="295"/>
    <cellStyle name="Hyperlink" xfId="296"/>
    <cellStyle name="Followed Hyperlink" xfId="297"/>
    <cellStyle name="Hyperlink" xfId="298"/>
    <cellStyle name="Followed Hyperlink" xfId="299"/>
    <cellStyle name="Hyperlink" xfId="300"/>
    <cellStyle name="Followed Hyperlink" xfId="301"/>
    <cellStyle name="Hyperlink" xfId="302"/>
    <cellStyle name="Followed Hyperlink" xfId="303"/>
    <cellStyle name="Hyperlink" xfId="304"/>
    <cellStyle name="Followed Hyperlink" xfId="305"/>
    <cellStyle name="Hyperlink" xfId="306"/>
    <cellStyle name="Followed Hyperlink" xfId="307"/>
    <cellStyle name="Hyperlink" xfId="308"/>
    <cellStyle name="Followed Hyperlink" xfId="309"/>
    <cellStyle name="Hyperlink" xfId="310"/>
    <cellStyle name="Followed Hyperlink" xfId="311"/>
    <cellStyle name="Hyperlink" xfId="312"/>
    <cellStyle name="Followed Hyperlink" xfId="313"/>
    <cellStyle name="Hyperlink" xfId="314"/>
    <cellStyle name="Followed Hyperlink" xfId="315"/>
    <cellStyle name="Hyperlink" xfId="316"/>
    <cellStyle name="Followed Hyperlink" xfId="317"/>
    <cellStyle name="Hyperlink" xfId="318"/>
    <cellStyle name="Followed Hyperlink" xfId="319"/>
    <cellStyle name="Hyperlink" xfId="320"/>
    <cellStyle name="Followed Hyperlink" xfId="321"/>
    <cellStyle name="Hyperlink" xfId="322"/>
    <cellStyle name="Followed Hyperlink" xfId="323"/>
    <cellStyle name="Hyperlink" xfId="324"/>
    <cellStyle name="Followed Hyperlink" xfId="325"/>
    <cellStyle name="Hyperlink" xfId="326"/>
    <cellStyle name="Followed Hyperlink" xfId="327"/>
    <cellStyle name="Hyperlink" xfId="328"/>
    <cellStyle name="Followed Hyperlink" xfId="329"/>
    <cellStyle name="Hyperlink" xfId="330"/>
    <cellStyle name="Followed Hyperlink" xfId="331"/>
    <cellStyle name="Hyperlink" xfId="332"/>
    <cellStyle name="Followed Hyperlink" xfId="333"/>
    <cellStyle name="Hyperlink" xfId="334"/>
    <cellStyle name="Followed Hyperlink" xfId="335"/>
    <cellStyle name="Hyperlink" xfId="336"/>
    <cellStyle name="Followed Hyperlink" xfId="337"/>
    <cellStyle name="Hyperlink" xfId="338"/>
    <cellStyle name="Followed Hyperlink" xfId="339"/>
    <cellStyle name="Hyperlink" xfId="340"/>
    <cellStyle name="Followed Hyperlink" xfId="341"/>
    <cellStyle name="Hyperlink" xfId="342"/>
    <cellStyle name="Followed Hyperlink" xfId="343"/>
    <cellStyle name="Hyperlink" xfId="344"/>
    <cellStyle name="Followed Hyperlink" xfId="345"/>
    <cellStyle name="Hyperlink" xfId="346"/>
    <cellStyle name="Followed Hyperlink" xfId="347"/>
    <cellStyle name="Hyperlink" xfId="348"/>
    <cellStyle name="Followed Hyperlink" xfId="349"/>
    <cellStyle name="Hyperlink" xfId="350"/>
    <cellStyle name="Followed Hyperlink" xfId="351"/>
    <cellStyle name="Hyperlink" xfId="352"/>
    <cellStyle name="Followed Hyperlink" xfId="353"/>
    <cellStyle name="Hyperlink" xfId="354"/>
    <cellStyle name="Followed Hyperlink" xfId="355"/>
    <cellStyle name="Hyperlink" xfId="356"/>
    <cellStyle name="Followed Hyperlink" xfId="357"/>
    <cellStyle name="Hyperlink" xfId="358"/>
    <cellStyle name="Followed Hyperlink" xfId="359"/>
    <cellStyle name="Hyperlink" xfId="360"/>
    <cellStyle name="Followed Hyperlink" xfId="361"/>
    <cellStyle name="Hyperlink" xfId="362"/>
    <cellStyle name="Followed Hyperlink" xfId="363"/>
    <cellStyle name="Hyperlink" xfId="364"/>
    <cellStyle name="Followed Hyperlink" xfId="365"/>
    <cellStyle name="Hyperlink" xfId="366"/>
    <cellStyle name="Followed Hyperlink" xfId="367"/>
    <cellStyle name="Hyperlink" xfId="368"/>
    <cellStyle name="Followed Hyperlink" xfId="369"/>
    <cellStyle name="Hyperlink" xfId="370"/>
    <cellStyle name="Followed Hyperlink" xfId="371"/>
    <cellStyle name="Hyperlink" xfId="372"/>
    <cellStyle name="Followed Hyperlink" xfId="373"/>
    <cellStyle name="Hyperlink" xfId="374"/>
    <cellStyle name="Followed Hyperlink" xfId="375"/>
    <cellStyle name="Hyperlink" xfId="376"/>
    <cellStyle name="Followed Hyperlink" xfId="377"/>
    <cellStyle name="Hyperlink" xfId="378"/>
    <cellStyle name="Followed Hyperlink" xfId="379"/>
    <cellStyle name="Hyperlink" xfId="380"/>
    <cellStyle name="Followed Hyperlink" xfId="381"/>
    <cellStyle name="Hyperlink" xfId="382"/>
    <cellStyle name="Followed Hyperlink" xfId="383"/>
    <cellStyle name="Hyperlink" xfId="384"/>
    <cellStyle name="Followed Hyperlink" xfId="385"/>
    <cellStyle name="Hyperlink" xfId="386"/>
    <cellStyle name="Followed Hyperlink" xfId="387"/>
    <cellStyle name="Hyperlink" xfId="388"/>
    <cellStyle name="Followed Hyperlink" xfId="389"/>
    <cellStyle name="Hyperlink" xfId="390"/>
    <cellStyle name="Followed Hyperlink" xfId="391"/>
    <cellStyle name="Hyperlink" xfId="392"/>
    <cellStyle name="Followed Hyperlink" xfId="393"/>
    <cellStyle name="Hyperlink" xfId="394"/>
    <cellStyle name="Followed Hyperlink" xfId="395"/>
    <cellStyle name="Hyperlink" xfId="396"/>
    <cellStyle name="Followed Hyperlink" xfId="397"/>
    <cellStyle name="Hyperlink" xfId="398"/>
    <cellStyle name="Followed Hyperlink" xfId="399"/>
    <cellStyle name="Hyperlink" xfId="400"/>
    <cellStyle name="Followed Hyperlink" xfId="401"/>
    <cellStyle name="Hyperlink" xfId="402"/>
    <cellStyle name="Followed Hyperlink" xfId="403"/>
    <cellStyle name="Hyperlink" xfId="404"/>
    <cellStyle name="Followed Hyperlink" xfId="405"/>
    <cellStyle name="Hyperlink" xfId="406"/>
    <cellStyle name="Followed Hyperlink" xfId="407"/>
    <cellStyle name="Hyperlink" xfId="408"/>
    <cellStyle name="Followed Hyperlink" xfId="409"/>
    <cellStyle name="Hyperlink" xfId="410"/>
    <cellStyle name="Followed Hyperlink" xfId="411"/>
    <cellStyle name="Hyperlink" xfId="412"/>
    <cellStyle name="Followed Hyperlink" xfId="413"/>
    <cellStyle name="Hyperlink" xfId="414"/>
    <cellStyle name="Followed Hyperlink" xfId="415"/>
    <cellStyle name="Hyperlink" xfId="416"/>
    <cellStyle name="Followed Hyperlink" xfId="417"/>
    <cellStyle name="Hyperlink" xfId="418"/>
    <cellStyle name="Followed Hyperlink" xfId="419"/>
    <cellStyle name="Hyperlink" xfId="420"/>
    <cellStyle name="Followed Hyperlink" xfId="421"/>
    <cellStyle name="Hyperlink" xfId="422"/>
    <cellStyle name="Followed Hyperlink" xfId="423"/>
    <cellStyle name="Hyperlink" xfId="424"/>
    <cellStyle name="Followed Hyperlink" xfId="425"/>
    <cellStyle name="Hyperlink" xfId="426"/>
    <cellStyle name="Followed Hyperlink" xfId="427"/>
    <cellStyle name="Hyperlink" xfId="428"/>
    <cellStyle name="Followed Hyperlink" xfId="429"/>
    <cellStyle name="Hyperlink" xfId="430"/>
    <cellStyle name="Followed Hyperlink" xfId="431"/>
    <cellStyle name="Hyperlink" xfId="432"/>
    <cellStyle name="Followed Hyperlink" xfId="433"/>
    <cellStyle name="Hyperlink" xfId="434"/>
    <cellStyle name="Followed Hyperlink" xfId="435"/>
    <cellStyle name="Hyperlink" xfId="436"/>
    <cellStyle name="Followed Hyperlink" xfId="437"/>
    <cellStyle name="Hyperlink" xfId="438"/>
    <cellStyle name="Followed Hyperlink" xfId="439"/>
    <cellStyle name="Hyperlink" xfId="440"/>
    <cellStyle name="Followed Hyperlink" xfId="441"/>
    <cellStyle name="Hyperlink" xfId="442"/>
    <cellStyle name="Followed Hyperlink" xfId="443"/>
    <cellStyle name="Hyperlink" xfId="444"/>
    <cellStyle name="Followed Hyperlink" xfId="445"/>
    <cellStyle name="Hyperlink" xfId="446"/>
    <cellStyle name="Followed Hyperlink" xfId="447"/>
    <cellStyle name="Hyperlink" xfId="448"/>
    <cellStyle name="Followed Hyperlink" xfId="449"/>
    <cellStyle name="Hyperlink" xfId="450"/>
    <cellStyle name="Followed Hyperlink" xfId="451"/>
    <cellStyle name="Hyperlink" xfId="452"/>
    <cellStyle name="Followed Hyperlink" xfId="453"/>
    <cellStyle name="Hyperlink" xfId="454"/>
    <cellStyle name="Followed Hyperlink" xfId="455"/>
    <cellStyle name="Hyperlink" xfId="456"/>
    <cellStyle name="Followed Hyperlink" xfId="457"/>
    <cellStyle name="Hyperlink" xfId="458"/>
    <cellStyle name="Followed Hyperlink" xfId="459"/>
    <cellStyle name="Hyperlink" xfId="460"/>
    <cellStyle name="Followed Hyperlink" xfId="461"/>
    <cellStyle name="Hyperlink" xfId="462"/>
    <cellStyle name="Followed Hyperlink" xfId="463"/>
    <cellStyle name="Hyperlink" xfId="464"/>
    <cellStyle name="Followed Hyperlink" xfId="465"/>
    <cellStyle name="Hyperlink" xfId="466"/>
    <cellStyle name="Followed Hyperlink" xfId="467"/>
    <cellStyle name="Hyperlink" xfId="468"/>
    <cellStyle name="Followed Hyperlink" xfId="469"/>
    <cellStyle name="Hyperlink" xfId="470"/>
    <cellStyle name="Followed Hyperlink" xfId="471"/>
    <cellStyle name="Hyperlink" xfId="472"/>
    <cellStyle name="Followed Hyperlink" xfId="473"/>
    <cellStyle name="Hyperlink" xfId="474"/>
    <cellStyle name="Followed Hyperlink" xfId="475"/>
    <cellStyle name="Hyperlink" xfId="476"/>
    <cellStyle name="Followed Hyperlink" xfId="477"/>
    <cellStyle name="Hyperlink" xfId="478"/>
    <cellStyle name="Followed Hyperlink" xfId="479"/>
    <cellStyle name="Hyperlink" xfId="480"/>
    <cellStyle name="Followed Hyperlink" xfId="481"/>
    <cellStyle name="Hyperlink" xfId="482"/>
    <cellStyle name="Followed Hyperlink" xfId="483"/>
    <cellStyle name="Hyperlink" xfId="484"/>
    <cellStyle name="Followed Hyperlink" xfId="485"/>
    <cellStyle name="Hyperlink" xfId="486"/>
    <cellStyle name="Followed Hyperlink" xfId="487"/>
    <cellStyle name="Hyperlink" xfId="488"/>
    <cellStyle name="Followed Hyperlink" xfId="489"/>
    <cellStyle name="Hyperlink" xfId="490"/>
    <cellStyle name="Followed Hyperlink" xfId="491"/>
    <cellStyle name="Hyperlink" xfId="492"/>
    <cellStyle name="Followed Hyperlink" xfId="493"/>
    <cellStyle name="Hyperlink" xfId="494"/>
    <cellStyle name="Followed Hyperlink" xfId="495"/>
    <cellStyle name="Hyperlink" xfId="496"/>
    <cellStyle name="Followed Hyperlink" xfId="497"/>
    <cellStyle name="Hyperlink" xfId="498"/>
    <cellStyle name="Followed Hyperlink" xfId="499"/>
    <cellStyle name="Hyperlink" xfId="500"/>
    <cellStyle name="Followed Hyperlink" xfId="501"/>
    <cellStyle name="Hyperlink" xfId="502"/>
    <cellStyle name="Followed Hyperlink" xfId="503"/>
    <cellStyle name="Hyperlink" xfId="504"/>
    <cellStyle name="Followed Hyperlink" xfId="505"/>
    <cellStyle name="Hyperlink" xfId="506"/>
    <cellStyle name="Followed Hyperlink" xfId="507"/>
    <cellStyle name="Hyperlink" xfId="508"/>
    <cellStyle name="Followed Hyperlink" xfId="509"/>
    <cellStyle name="Hyperlink" xfId="510"/>
    <cellStyle name="Followed Hyperlink" xfId="511"/>
    <cellStyle name="Hyperlink" xfId="512"/>
    <cellStyle name="Followed Hyperlink" xfId="513"/>
    <cellStyle name="Hyperlink" xfId="514"/>
    <cellStyle name="Followed Hyperlink" xfId="515"/>
    <cellStyle name="Hyperlink" xfId="516"/>
    <cellStyle name="Followed Hyperlink" xfId="517"/>
    <cellStyle name="Hyperlink" xfId="518"/>
    <cellStyle name="Followed Hyperlink" xfId="519"/>
    <cellStyle name="Hyperlink" xfId="520"/>
    <cellStyle name="Followed Hyperlink" xfId="521"/>
    <cellStyle name="Hyperlink" xfId="522"/>
    <cellStyle name="Followed Hyperlink" xfId="523"/>
    <cellStyle name="Hyperlink" xfId="524"/>
    <cellStyle name="Followed Hyperlink" xfId="525"/>
    <cellStyle name="Hyperlink" xfId="526"/>
    <cellStyle name="Followed Hyperlink" xfId="527"/>
    <cellStyle name="Hyperlink" xfId="528"/>
    <cellStyle name="Followed Hyperlink" xfId="529"/>
    <cellStyle name="Hyperlink" xfId="530"/>
    <cellStyle name="Followed Hyperlink" xfId="531"/>
    <cellStyle name="Hyperlink" xfId="532"/>
    <cellStyle name="Followed Hyperlink" xfId="533"/>
    <cellStyle name="Hyperlink" xfId="534"/>
    <cellStyle name="Followed Hyperlink" xfId="535"/>
    <cellStyle name="Hyperlink" xfId="536"/>
    <cellStyle name="Followed Hyperlink" xfId="537"/>
    <cellStyle name="Hyperlink" xfId="538"/>
    <cellStyle name="Followed Hyperlink" xfId="539"/>
    <cellStyle name="Hyperlink" xfId="540"/>
    <cellStyle name="Followed Hyperlink" xfId="541"/>
    <cellStyle name="Hyperlink" xfId="542"/>
    <cellStyle name="Followed Hyperlink" xfId="543"/>
    <cellStyle name="Hyperlink" xfId="544"/>
    <cellStyle name="Followed Hyperlink" xfId="545"/>
    <cellStyle name="Hyperlink" xfId="546"/>
    <cellStyle name="Followed Hyperlink" xfId="547"/>
    <cellStyle name="Hyperlink" xfId="548"/>
    <cellStyle name="Followed Hyperlink" xfId="549"/>
    <cellStyle name="Hyperlink" xfId="550"/>
    <cellStyle name="Followed Hyperlink" xfId="551"/>
    <cellStyle name="Hyperlink" xfId="552"/>
    <cellStyle name="Followed Hyperlink" xfId="553"/>
    <cellStyle name="Hyperlink" xfId="554"/>
    <cellStyle name="Followed Hyperlink" xfId="555"/>
    <cellStyle name="Hyperlink" xfId="556"/>
    <cellStyle name="Followed Hyperlink" xfId="557"/>
    <cellStyle name="Hyperlink" xfId="558"/>
    <cellStyle name="Followed Hyperlink" xfId="559"/>
    <cellStyle name="Hyperlink" xfId="560"/>
    <cellStyle name="Followed Hyperlink" xfId="561"/>
    <cellStyle name="Hyperlink" xfId="562"/>
    <cellStyle name="Followed Hyperlink" xfId="563"/>
    <cellStyle name="Hyperlink" xfId="564"/>
    <cellStyle name="Followed Hyperlink" xfId="565"/>
    <cellStyle name="Hyperlink" xfId="566"/>
    <cellStyle name="Followed Hyperlink" xfId="567"/>
    <cellStyle name="Hyperlink" xfId="568"/>
    <cellStyle name="Followed Hyperlink" xfId="569"/>
    <cellStyle name="Hyperlink" xfId="570"/>
    <cellStyle name="Followed Hyperlink" xfId="571"/>
    <cellStyle name="Hyperlink" xfId="572"/>
    <cellStyle name="Followed Hyperlink" xfId="573"/>
    <cellStyle name="Hyperlink" xfId="574"/>
    <cellStyle name="Followed Hyperlink" xfId="575"/>
    <cellStyle name="Hyperlink" xfId="576"/>
    <cellStyle name="Followed Hyperlink" xfId="577"/>
    <cellStyle name="Hyperlink" xfId="578"/>
    <cellStyle name="Followed Hyperlink" xfId="579"/>
    <cellStyle name="Hyperlink" xfId="580"/>
    <cellStyle name="Followed Hyperlink" xfId="581"/>
    <cellStyle name="Hyperlink" xfId="582"/>
    <cellStyle name="Followed Hyperlink" xfId="583"/>
    <cellStyle name="Hyperlink" xfId="584"/>
    <cellStyle name="Followed Hyperlink" xfId="585"/>
    <cellStyle name="Hyperlink" xfId="586"/>
    <cellStyle name="Followed Hyperlink" xfId="587"/>
    <cellStyle name="Hyperlink" xfId="588"/>
    <cellStyle name="Followed Hyperlink" xfId="589"/>
    <cellStyle name="Hyperlink" xfId="590"/>
    <cellStyle name="Followed Hyperlink" xfId="591"/>
    <cellStyle name="Hyperlink" xfId="592"/>
    <cellStyle name="Followed Hyperlink" xfId="593"/>
    <cellStyle name="Hyperlink" xfId="594"/>
    <cellStyle name="Followed Hyperlink" xfId="595"/>
    <cellStyle name="Hyperlink" xfId="596"/>
    <cellStyle name="Followed Hyperlink" xfId="597"/>
    <cellStyle name="Hyperlink" xfId="598"/>
    <cellStyle name="Followed Hyperlink" xfId="599"/>
    <cellStyle name="Hyperlink" xfId="600"/>
    <cellStyle name="Followed Hyperlink" xfId="601"/>
    <cellStyle name="Hyperlink" xfId="602"/>
    <cellStyle name="Followed Hyperlink" xfId="603"/>
    <cellStyle name="Hyperlink" xfId="604"/>
    <cellStyle name="Followed Hyperlink" xfId="605"/>
    <cellStyle name="Hyperlink" xfId="606"/>
    <cellStyle name="Followed Hyperlink" xfId="607"/>
    <cellStyle name="Hyperlink" xfId="608"/>
    <cellStyle name="Followed Hyperlink" xfId="609"/>
    <cellStyle name="Hyperlink" xfId="610"/>
    <cellStyle name="Followed Hyperlink" xfId="611"/>
    <cellStyle name="Hyperlink" xfId="612"/>
    <cellStyle name="Followed Hyperlink" xfId="613"/>
    <cellStyle name="Hyperlink" xfId="614"/>
    <cellStyle name="Followed Hyperlink" xfId="615"/>
    <cellStyle name="Hyperlink" xfId="616"/>
    <cellStyle name="Followed Hyperlink" xfId="617"/>
    <cellStyle name="Hyperlink" xfId="618"/>
    <cellStyle name="Followed Hyperlink" xfId="619"/>
    <cellStyle name="Hyperlink" xfId="620"/>
    <cellStyle name="Followed Hyperlink" xfId="621"/>
    <cellStyle name="Hyperlink" xfId="622"/>
    <cellStyle name="Followed Hyperlink" xfId="623"/>
    <cellStyle name="Hyperlink" xfId="624"/>
    <cellStyle name="Followed Hyperlink" xfId="625"/>
    <cellStyle name="Hyperlink" xfId="626"/>
    <cellStyle name="Followed Hyperlink" xfId="627"/>
    <cellStyle name="Hyperlink" xfId="628"/>
    <cellStyle name="Followed Hyperlink" xfId="629"/>
    <cellStyle name="Hyperlink" xfId="630"/>
    <cellStyle name="Followed Hyperlink" xfId="631"/>
    <cellStyle name="Hyperlink" xfId="632"/>
    <cellStyle name="Followed Hyperlink" xfId="633"/>
    <cellStyle name="Hyperlink" xfId="634"/>
    <cellStyle name="Followed Hyperlink" xfId="635"/>
    <cellStyle name="Hyperlink" xfId="636"/>
    <cellStyle name="Followed Hyperlink" xfId="637"/>
    <cellStyle name="Hyperlink" xfId="638"/>
    <cellStyle name="Followed Hyperlink" xfId="639"/>
    <cellStyle name="Hyperlink" xfId="640"/>
    <cellStyle name="Followed Hyperlink" xfId="641"/>
    <cellStyle name="Hyperlink" xfId="642"/>
    <cellStyle name="Followed Hyperlink" xfId="643"/>
    <cellStyle name="Hyperlink" xfId="644"/>
    <cellStyle name="Followed Hyperlink" xfId="645"/>
    <cellStyle name="Hyperlink" xfId="646"/>
    <cellStyle name="Followed Hyperlink" xfId="647"/>
    <cellStyle name="Hyperlink" xfId="648"/>
    <cellStyle name="Followed Hyperlink" xfId="649"/>
    <cellStyle name="Hyperlink" xfId="650"/>
    <cellStyle name="Followed Hyperlink" xfId="651"/>
    <cellStyle name="Hyperlink" xfId="652"/>
    <cellStyle name="Followed Hyperlink" xfId="653"/>
    <cellStyle name="Hyperlink" xfId="654"/>
    <cellStyle name="Followed Hyperlink" xfId="655"/>
    <cellStyle name="Hyperlink" xfId="656"/>
    <cellStyle name="Followed Hyperlink" xfId="657"/>
    <cellStyle name="Hyperlink" xfId="658"/>
    <cellStyle name="Followed Hyperlink" xfId="659"/>
    <cellStyle name="Hyperlink" xfId="660"/>
    <cellStyle name="Followed Hyperlink" xfId="661"/>
    <cellStyle name="Hyperlink" xfId="662"/>
    <cellStyle name="Followed Hyperlink" xfId="663"/>
    <cellStyle name="Hyperlink" xfId="664"/>
    <cellStyle name="Followed Hyperlink" xfId="665"/>
    <cellStyle name="Hyperlink" xfId="666"/>
    <cellStyle name="Followed Hyperlink" xfId="667"/>
    <cellStyle name="Hyperlink" xfId="668"/>
    <cellStyle name="Followed Hyperlink" xfId="669"/>
    <cellStyle name="Hyperlink" xfId="670"/>
    <cellStyle name="Followed Hyperlink" xfId="671"/>
    <cellStyle name="Hyperlink" xfId="672"/>
    <cellStyle name="Followed Hyperlink" xfId="673"/>
    <cellStyle name="Hyperlink" xfId="674"/>
    <cellStyle name="Followed Hyperlink" xfId="675"/>
    <cellStyle name="Hyperlink" xfId="676"/>
    <cellStyle name="Followed Hyperlink" xfId="677"/>
    <cellStyle name="Hyperlink" xfId="678"/>
    <cellStyle name="Followed Hyperlink" xfId="679"/>
    <cellStyle name="Hyperlink" xfId="680"/>
    <cellStyle name="Followed Hyperlink" xfId="681"/>
    <cellStyle name="Hyperlink" xfId="682"/>
    <cellStyle name="Followed Hyperlink" xfId="683"/>
    <cellStyle name="Hyperlink" xfId="684"/>
    <cellStyle name="Followed Hyperlink" xfId="685"/>
    <cellStyle name="Hyperlink" xfId="686"/>
    <cellStyle name="Followed Hyperlink" xfId="687"/>
    <cellStyle name="Hyperlink" xfId="688"/>
    <cellStyle name="Followed Hyperlink" xfId="689"/>
    <cellStyle name="Hyperlink" xfId="690"/>
    <cellStyle name="Followed Hyperlink" xfId="691"/>
    <cellStyle name="Hyperlink" xfId="692"/>
    <cellStyle name="Followed Hyperlink" xfId="693"/>
    <cellStyle name="Hyperlink" xfId="694"/>
    <cellStyle name="Followed Hyperlink" xfId="695"/>
    <cellStyle name="Hyperlink" xfId="696"/>
    <cellStyle name="Followed Hyperlink" xfId="697"/>
    <cellStyle name="Hyperlink" xfId="698"/>
    <cellStyle name="Followed Hyperlink" xfId="699"/>
    <cellStyle name="Hyperlink" xfId="700"/>
    <cellStyle name="Followed Hyperlink" xfId="701"/>
    <cellStyle name="Hyperlink" xfId="702"/>
    <cellStyle name="Followed Hyperlink" xfId="703"/>
    <cellStyle name="Hyperlink" xfId="704"/>
    <cellStyle name="Followed Hyperlink" xfId="705"/>
    <cellStyle name="Hyperlink" xfId="706"/>
    <cellStyle name="Followed Hyperlink" xfId="707"/>
    <cellStyle name="Hyperlink" xfId="708"/>
    <cellStyle name="Followed Hyperlink" xfId="709"/>
    <cellStyle name="Hyperlink" xfId="710"/>
    <cellStyle name="Followed Hyperlink" xfId="711"/>
    <cellStyle name="Hyperlink" xfId="712"/>
    <cellStyle name="Followed Hyperlink" xfId="713"/>
    <cellStyle name="Hyperlink" xfId="714"/>
    <cellStyle name="Followed Hyperlink" xfId="715"/>
    <cellStyle name="Hyperlink" xfId="716"/>
    <cellStyle name="Followed Hyperlink" xfId="717"/>
    <cellStyle name="Hyperlink" xfId="718"/>
    <cellStyle name="Followed Hyperlink" xfId="719"/>
    <cellStyle name="Hyperlink" xfId="720"/>
    <cellStyle name="Followed Hyperlink" xfId="721"/>
    <cellStyle name="Hyperlink" xfId="722"/>
    <cellStyle name="Followed Hyperlink" xfId="723"/>
    <cellStyle name="Hyperlink" xfId="724"/>
    <cellStyle name="Followed Hyperlink" xfId="725"/>
    <cellStyle name="Hyperlink" xfId="726"/>
    <cellStyle name="Followed Hyperlink" xfId="727"/>
    <cellStyle name="Hyperlink" xfId="728"/>
    <cellStyle name="Followed Hyperlink" xfId="729"/>
    <cellStyle name="Hyperlink" xfId="730"/>
    <cellStyle name="Followed Hyperlink" xfId="731"/>
    <cellStyle name="Hyperlink" xfId="732"/>
    <cellStyle name="Followed Hyperlink" xfId="733"/>
    <cellStyle name="Hyperlink" xfId="734"/>
    <cellStyle name="Followed Hyperlink" xfId="735"/>
    <cellStyle name="Hyperlink" xfId="736"/>
    <cellStyle name="Followed Hyperlink" xfId="737"/>
    <cellStyle name="Hyperlink" xfId="738"/>
    <cellStyle name="Followed Hyperlink" xfId="739"/>
    <cellStyle name="Hyperlink" xfId="740"/>
    <cellStyle name="Followed Hyperlink" xfId="741"/>
    <cellStyle name="Hyperlink" xfId="742"/>
    <cellStyle name="Followed Hyperlink" xfId="743"/>
    <cellStyle name="Hyperlink" xfId="744"/>
    <cellStyle name="Followed Hyperlink" xfId="745"/>
    <cellStyle name="Hyperlink" xfId="746"/>
    <cellStyle name="Followed Hyperlink" xfId="747"/>
    <cellStyle name="Hyperlink" xfId="748"/>
    <cellStyle name="Followed Hyperlink" xfId="749"/>
    <cellStyle name="Hyperlink" xfId="750"/>
    <cellStyle name="Followed Hyperlink" xfId="751"/>
    <cellStyle name="Hyperlink" xfId="752"/>
    <cellStyle name="Followed Hyperlink" xfId="753"/>
    <cellStyle name="Hyperlink" xfId="754"/>
    <cellStyle name="Followed Hyperlink" xfId="755"/>
    <cellStyle name="Hyperlink" xfId="756"/>
    <cellStyle name="Followed Hyperlink" xfId="757"/>
    <cellStyle name="Hyperlink" xfId="758"/>
    <cellStyle name="Followed Hyperlink" xfId="759"/>
    <cellStyle name="Hyperlink" xfId="760"/>
    <cellStyle name="Followed Hyperlink" xfId="761"/>
    <cellStyle name="Hyperlink" xfId="762"/>
    <cellStyle name="Followed Hyperlink" xfId="763"/>
    <cellStyle name="Hyperlink" xfId="764"/>
    <cellStyle name="Followed Hyperlink" xfId="765"/>
    <cellStyle name="Hyperlink" xfId="766"/>
    <cellStyle name="Followed Hyperlink" xfId="767"/>
    <cellStyle name="Hyperlink" xfId="768"/>
    <cellStyle name="Followed Hyperlink" xfId="769"/>
    <cellStyle name="Hyperlink" xfId="770"/>
    <cellStyle name="Followed Hyperlink" xfId="771"/>
    <cellStyle name="Hyperlink" xfId="772"/>
    <cellStyle name="Followed Hyperlink" xfId="773"/>
    <cellStyle name="Hyperlink" xfId="774"/>
    <cellStyle name="Followed Hyperlink" xfId="775"/>
    <cellStyle name="Hyperlink" xfId="776"/>
    <cellStyle name="Followed Hyperlink" xfId="777"/>
    <cellStyle name="Hyperlink" xfId="778"/>
    <cellStyle name="Followed Hyperlink" xfId="779"/>
    <cellStyle name="Hyperlink" xfId="780"/>
    <cellStyle name="Followed Hyperlink" xfId="781"/>
    <cellStyle name="Hyperlink" xfId="782"/>
    <cellStyle name="Followed Hyperlink" xfId="783"/>
    <cellStyle name="Hyperlink" xfId="784"/>
    <cellStyle name="Followed Hyperlink" xfId="785"/>
    <cellStyle name="Hyperlink" xfId="786"/>
    <cellStyle name="Followed Hyperlink" xfId="787"/>
    <cellStyle name="Hyperlink" xfId="788"/>
    <cellStyle name="Followed Hyperlink" xfId="789"/>
    <cellStyle name="Hyperlink" xfId="790"/>
    <cellStyle name="Followed Hyperlink" xfId="791"/>
    <cellStyle name="Hyperlink" xfId="792"/>
    <cellStyle name="Followed Hyperlink" xfId="793"/>
    <cellStyle name="Hyperlink" xfId="794"/>
    <cellStyle name="Followed Hyperlink" xfId="795"/>
    <cellStyle name="Hyperlink" xfId="796"/>
    <cellStyle name="Followed Hyperlink" xfId="797"/>
    <cellStyle name="Hyperlink" xfId="798"/>
    <cellStyle name="Followed Hyperlink" xfId="799"/>
    <cellStyle name="Hyperlink" xfId="800"/>
    <cellStyle name="Followed Hyperlink" xfId="801"/>
    <cellStyle name="Hyperlink" xfId="802"/>
    <cellStyle name="Followed Hyperlink" xfId="803"/>
    <cellStyle name="Hyperlink" xfId="804"/>
    <cellStyle name="Followed Hyperlink" xfId="805"/>
    <cellStyle name="Hyperlink" xfId="806"/>
    <cellStyle name="Followed Hyperlink" xfId="807"/>
    <cellStyle name="Hyperlink" xfId="808"/>
    <cellStyle name="Followed Hyperlink" xfId="809"/>
    <cellStyle name="Hyperlink" xfId="810"/>
    <cellStyle name="Followed Hyperlink" xfId="811"/>
    <cellStyle name="Hyperlink" xfId="812"/>
    <cellStyle name="Followed Hyperlink" xfId="813"/>
    <cellStyle name="Hyperlink" xfId="814"/>
    <cellStyle name="Followed Hyperlink" xfId="815"/>
    <cellStyle name="Hyperlink" xfId="816"/>
    <cellStyle name="Followed Hyperlink" xfId="817"/>
    <cellStyle name="Hyperlink" xfId="818"/>
    <cellStyle name="Followed Hyperlink" xfId="819"/>
    <cellStyle name="Hyperlink" xfId="820"/>
    <cellStyle name="Followed Hyperlink" xfId="821"/>
    <cellStyle name="Hyperlink" xfId="822"/>
    <cellStyle name="Followed Hyperlink" xfId="823"/>
    <cellStyle name="Hyperlink" xfId="824"/>
    <cellStyle name="Followed Hyperlink" xfId="825"/>
    <cellStyle name="Hyperlink" xfId="826"/>
    <cellStyle name="Followed Hyperlink" xfId="827"/>
    <cellStyle name="Hyperlink" xfId="828"/>
    <cellStyle name="Followed Hyperlink" xfId="829"/>
    <cellStyle name="Hyperlink" xfId="830"/>
    <cellStyle name="Followed Hyperlink" xfId="831"/>
    <cellStyle name="Hyperlink" xfId="832"/>
    <cellStyle name="Followed Hyperlink" xfId="833"/>
    <cellStyle name="Hyperlink" xfId="834"/>
    <cellStyle name="Followed Hyperlink" xfId="835"/>
    <cellStyle name="Hyperlink" xfId="836"/>
    <cellStyle name="Followed Hyperlink" xfId="837"/>
    <cellStyle name="Hyperlink" xfId="838"/>
    <cellStyle name="Followed Hyperlink" xfId="839"/>
    <cellStyle name="Hyperlink" xfId="840"/>
    <cellStyle name="Followed Hyperlink" xfId="841"/>
    <cellStyle name="Hyperlink" xfId="842"/>
    <cellStyle name="Followed Hyperlink" xfId="843"/>
    <cellStyle name="Hyperlink" xfId="844"/>
    <cellStyle name="Followed Hyperlink" xfId="845"/>
    <cellStyle name="Hyperlink" xfId="846"/>
    <cellStyle name="Followed Hyperlink" xfId="847"/>
    <cellStyle name="Hyperlink" xfId="848"/>
    <cellStyle name="Followed Hyperlink" xfId="849"/>
    <cellStyle name="Hyperlink" xfId="850"/>
    <cellStyle name="Followed Hyperlink" xfId="851"/>
    <cellStyle name="Hyperlink" xfId="852"/>
    <cellStyle name="Followed Hyperlink" xfId="853"/>
    <cellStyle name="Hyperlink" xfId="854"/>
    <cellStyle name="Followed Hyperlink" xfId="855"/>
    <cellStyle name="Hyperlink" xfId="856"/>
    <cellStyle name="Followed Hyperlink" xfId="857"/>
    <cellStyle name="Hyperlink" xfId="858"/>
    <cellStyle name="Followed Hyperlink" xfId="859"/>
    <cellStyle name="Hyperlink" xfId="860"/>
    <cellStyle name="Followed Hyperlink" xfId="861"/>
    <cellStyle name="Hyperlink" xfId="862"/>
    <cellStyle name="Followed Hyperlink" xfId="863"/>
    <cellStyle name="Hyperlink" xfId="864"/>
    <cellStyle name="Followed Hyperlink" xfId="865"/>
    <cellStyle name="Hyperlink" xfId="866"/>
    <cellStyle name="Followed Hyperlink" xfId="867"/>
    <cellStyle name="Hyperlink" xfId="868"/>
    <cellStyle name="Followed Hyperlink" xfId="869"/>
    <cellStyle name="Hyperlink" xfId="870"/>
    <cellStyle name="Followed Hyperlink" xfId="871"/>
    <cellStyle name="Hyperlink" xfId="872"/>
    <cellStyle name="Followed Hyperlink" xfId="873"/>
    <cellStyle name="Hyperlink" xfId="874"/>
    <cellStyle name="Followed Hyperlink" xfId="875"/>
    <cellStyle name="Hyperlink" xfId="876"/>
    <cellStyle name="Followed Hyperlink" xfId="877"/>
    <cellStyle name="Hyperlink" xfId="878"/>
    <cellStyle name="Followed Hyperlink" xfId="879"/>
    <cellStyle name="Hyperlink" xfId="880"/>
    <cellStyle name="Followed Hyperlink" xfId="881"/>
    <cellStyle name="Hyperlink" xfId="882"/>
    <cellStyle name="Followed Hyperlink" xfId="883"/>
    <cellStyle name="Hyperlink" xfId="884"/>
    <cellStyle name="Followed Hyperlink" xfId="885"/>
    <cellStyle name="Hyperlink" xfId="886"/>
    <cellStyle name="Followed Hyperlink" xfId="887"/>
    <cellStyle name="Hyperlink" xfId="888"/>
    <cellStyle name="Followed Hyperlink" xfId="889"/>
    <cellStyle name="Hyperlink" xfId="890"/>
    <cellStyle name="Followed Hyperlink" xfId="891"/>
    <cellStyle name="Hyperlink" xfId="892"/>
    <cellStyle name="Followed Hyperlink" xfId="893"/>
    <cellStyle name="Hyperlink" xfId="894"/>
    <cellStyle name="Followed Hyperlink" xfId="895"/>
    <cellStyle name="Hyperlink" xfId="896"/>
    <cellStyle name="Followed Hyperlink" xfId="897"/>
    <cellStyle name="Hyperlink" xfId="898"/>
    <cellStyle name="Followed Hyperlink" xfId="899"/>
    <cellStyle name="Hyperlink" xfId="900"/>
    <cellStyle name="Followed Hyperlink" xfId="901"/>
    <cellStyle name="Hyperlink" xfId="902"/>
    <cellStyle name="Followed Hyperlink" xfId="903"/>
    <cellStyle name="Hyperlink" xfId="904"/>
    <cellStyle name="Followed Hyperlink" xfId="905"/>
    <cellStyle name="Hyperlink" xfId="906"/>
    <cellStyle name="Followed Hyperlink" xfId="907"/>
    <cellStyle name="Hyperlink" xfId="908"/>
    <cellStyle name="Followed Hyperlink" xfId="909"/>
    <cellStyle name="Hyperlink" xfId="910"/>
    <cellStyle name="Followed Hyperlink" xfId="911"/>
    <cellStyle name="Hyperlink" xfId="912"/>
    <cellStyle name="Followed Hyperlink" xfId="913"/>
    <cellStyle name="Hyperlink" xfId="914"/>
    <cellStyle name="Followed Hyperlink" xfId="915"/>
    <cellStyle name="Hyperlink" xfId="916"/>
    <cellStyle name="Followed Hyperlink" xfId="917"/>
    <cellStyle name="Hyperlink" xfId="918"/>
    <cellStyle name="Followed Hyperlink" xfId="919"/>
    <cellStyle name="Hyperlink" xfId="920"/>
    <cellStyle name="Followed Hyperlink" xfId="921"/>
    <cellStyle name="Hyperlink" xfId="922"/>
    <cellStyle name="Followed Hyperlink" xfId="923"/>
    <cellStyle name="Hyperlink" xfId="924"/>
    <cellStyle name="Followed Hyperlink" xfId="925"/>
    <cellStyle name="Hyperlink" xfId="926"/>
    <cellStyle name="Followed Hyperlink" xfId="927"/>
    <cellStyle name="Hyperlink" xfId="928"/>
    <cellStyle name="Followed Hyperlink" xfId="929"/>
    <cellStyle name="Hyperlink" xfId="930"/>
    <cellStyle name="Followed Hyperlink" xfId="931"/>
    <cellStyle name="Hyperlink" xfId="932"/>
    <cellStyle name="Followed Hyperlink" xfId="933"/>
    <cellStyle name="Hyperlink" xfId="934"/>
    <cellStyle name="Followed Hyperlink" xfId="935"/>
    <cellStyle name="Hyperlink" xfId="936"/>
    <cellStyle name="Followed Hyperlink" xfId="937"/>
    <cellStyle name="Hyperlink" xfId="938"/>
    <cellStyle name="Followed Hyperlink" xfId="939"/>
    <cellStyle name="Hyperlink" xfId="940"/>
    <cellStyle name="Followed Hyperlink" xfId="941"/>
    <cellStyle name="Hyperlink" xfId="942"/>
    <cellStyle name="Followed Hyperlink" xfId="943"/>
    <cellStyle name="Hyperlink" xfId="944"/>
    <cellStyle name="Followed Hyperlink" xfId="945"/>
    <cellStyle name="Hyperlink" xfId="946"/>
    <cellStyle name="Followed Hyperlink" xfId="947"/>
    <cellStyle name="Hyperlink" xfId="948"/>
    <cellStyle name="Followed Hyperlink" xfId="949"/>
    <cellStyle name="Hyperlink" xfId="950"/>
    <cellStyle name="Followed Hyperlink" xfId="951"/>
    <cellStyle name="Hyperlink" xfId="952"/>
    <cellStyle name="Followed Hyperlink" xfId="953"/>
    <cellStyle name="Hyperlink" xfId="954"/>
    <cellStyle name="Followed Hyperlink" xfId="955"/>
    <cellStyle name="Hyperlink" xfId="956"/>
    <cellStyle name="Followed Hyperlink" xfId="957"/>
    <cellStyle name="Hyperlink" xfId="958"/>
    <cellStyle name="Followed Hyperlink" xfId="959"/>
    <cellStyle name="Hyperlink" xfId="960"/>
    <cellStyle name="Followed Hyperlink" xfId="961"/>
    <cellStyle name="Hyperlink" xfId="962"/>
    <cellStyle name="Followed Hyperlink" xfId="963"/>
    <cellStyle name="Hyperlink" xfId="964"/>
    <cellStyle name="Followed Hyperlink" xfId="965"/>
    <cellStyle name="Hyperlink" xfId="966"/>
    <cellStyle name="Followed Hyperlink" xfId="967"/>
    <cellStyle name="Hyperlink" xfId="968"/>
    <cellStyle name="Followed Hyperlink" xfId="969"/>
    <cellStyle name="Hyperlink" xfId="970"/>
    <cellStyle name="Followed Hyperlink" xfId="971"/>
    <cellStyle name="Hyperlink" xfId="972"/>
    <cellStyle name="Followed Hyperlink" xfId="973"/>
    <cellStyle name="Hyperlink" xfId="974"/>
    <cellStyle name="Followed Hyperlink" xfId="975"/>
    <cellStyle name="Hyperlink" xfId="976"/>
    <cellStyle name="Followed Hyperlink" xfId="977"/>
    <cellStyle name="Hyperlink" xfId="978"/>
    <cellStyle name="Followed Hyperlink" xfId="979"/>
    <cellStyle name="Hyperlink" xfId="980"/>
    <cellStyle name="Followed Hyperlink" xfId="981"/>
    <cellStyle name="Hyperlink" xfId="982"/>
    <cellStyle name="Followed Hyperlink" xfId="983"/>
    <cellStyle name="Hyperlink" xfId="984"/>
    <cellStyle name="Followed Hyperlink" xfId="985"/>
    <cellStyle name="Hyperlink" xfId="986"/>
    <cellStyle name="Followed Hyperlink" xfId="987"/>
    <cellStyle name="Hyperlink" xfId="988"/>
    <cellStyle name="Followed Hyperlink" xfId="989"/>
    <cellStyle name="Hyperlink" xfId="990"/>
    <cellStyle name="Followed Hyperlink" xfId="991"/>
    <cellStyle name="Hyperlink" xfId="992"/>
    <cellStyle name="Followed Hyperlink" xfId="993"/>
    <cellStyle name="Hyperlink" xfId="994"/>
    <cellStyle name="Followed Hyperlink" xfId="995"/>
    <cellStyle name="Hyperlink" xfId="996"/>
    <cellStyle name="Followed Hyperlink" xfId="997"/>
    <cellStyle name="Hyperlink" xfId="998"/>
    <cellStyle name="Followed Hyperlink" xfId="999"/>
    <cellStyle name="Hyperlink" xfId="1000"/>
    <cellStyle name="Followed Hyperlink" xfId="1001"/>
    <cellStyle name="Hyperlink" xfId="1002"/>
    <cellStyle name="Followed Hyperlink" xfId="1003"/>
    <cellStyle name="Hyperlink" xfId="1004"/>
    <cellStyle name="Followed Hyperlink" xfId="1005"/>
    <cellStyle name="Hyperlink" xfId="1006"/>
    <cellStyle name="Followed Hyperlink" xfId="1007"/>
    <cellStyle name="Hyperlink" xfId="1008"/>
    <cellStyle name="Followed Hyperlink" xfId="1009"/>
    <cellStyle name="Hyperlink" xfId="1010"/>
    <cellStyle name="Followed Hyperlink" xfId="1011"/>
    <cellStyle name="Hyperlink" xfId="1012"/>
    <cellStyle name="Followed Hyperlink" xfId="1013"/>
    <cellStyle name="Hyperlink" xfId="1014"/>
    <cellStyle name="Followed Hyperlink" xfId="1015"/>
    <cellStyle name="Hyperlink" xfId="1016"/>
    <cellStyle name="Followed Hyperlink" xfId="1017"/>
    <cellStyle name="Hyperlink" xfId="1018"/>
    <cellStyle name="Followed Hyperlink" xfId="1019"/>
    <cellStyle name="Hyperlink" xfId="1020"/>
    <cellStyle name="Followed Hyperlink" xfId="1021"/>
    <cellStyle name="Hyperlink" xfId="1022"/>
    <cellStyle name="Followed Hyperlink" xfId="1023"/>
    <cellStyle name="Hyperlink" xfId="1024"/>
    <cellStyle name="Followed Hyperlink" xfId="1025"/>
    <cellStyle name="Hyperlink" xfId="1026"/>
    <cellStyle name="Followed Hyperlink" xfId="1027"/>
    <cellStyle name="Hyperlink" xfId="1028"/>
    <cellStyle name="Followed Hyperlink" xfId="1029"/>
    <cellStyle name="Hyperlink" xfId="1030"/>
    <cellStyle name="Followed Hyperlink" xfId="1031"/>
    <cellStyle name="Hyperlink" xfId="1032"/>
    <cellStyle name="Followed Hyperlink" xfId="1033"/>
    <cellStyle name="Hyperlink" xfId="1034"/>
    <cellStyle name="Followed Hyperlink" xfId="1035"/>
    <cellStyle name="Hyperlink" xfId="1036"/>
    <cellStyle name="Followed Hyperlink" xfId="1037"/>
    <cellStyle name="Hyperlink" xfId="1038"/>
    <cellStyle name="Followed Hyperlink" xfId="1039"/>
    <cellStyle name="Hyperlink" xfId="1040"/>
    <cellStyle name="Followed Hyperlink" xfId="1041"/>
    <cellStyle name="Hyperlink" xfId="1042"/>
    <cellStyle name="Followed Hyperlink" xfId="1043"/>
    <cellStyle name="Hyperlink" xfId="1044"/>
    <cellStyle name="Followed Hyperlink" xfId="1045"/>
    <cellStyle name="Hyperlink" xfId="1046"/>
    <cellStyle name="Followed Hyperlink" xfId="1047"/>
    <cellStyle name="Hyperlink" xfId="1048"/>
    <cellStyle name="Followed Hyperlink" xfId="1049"/>
    <cellStyle name="Hyperlink" xfId="1050"/>
    <cellStyle name="Followed Hyperlink" xfId="1051"/>
    <cellStyle name="Hyperlink" xfId="1052"/>
    <cellStyle name="Followed Hyperlink" xfId="1053"/>
    <cellStyle name="Hyperlink" xfId="1054"/>
    <cellStyle name="Followed Hyperlink" xfId="1055"/>
    <cellStyle name="Hyperlink" xfId="1056"/>
    <cellStyle name="Followed Hyperlink" xfId="1057"/>
    <cellStyle name="Hyperlink" xfId="1058"/>
    <cellStyle name="Followed Hyperlink" xfId="1059"/>
    <cellStyle name="Hyperlink" xfId="1060"/>
    <cellStyle name="Followed Hyperlink" xfId="1061"/>
    <cellStyle name="Hyperlink" xfId="1062"/>
    <cellStyle name="Followed Hyperlink" xfId="1063"/>
    <cellStyle name="Hyperlink" xfId="1064"/>
    <cellStyle name="Followed Hyperlink" xfId="1065"/>
    <cellStyle name="Hyperlink" xfId="1066"/>
    <cellStyle name="Followed Hyperlink" xfId="1067"/>
    <cellStyle name="Hyperlink" xfId="1068"/>
    <cellStyle name="Followed Hyperlink" xfId="1069"/>
    <cellStyle name="Hyperlink" xfId="1070"/>
    <cellStyle name="Followed Hyperlink" xfId="1071"/>
    <cellStyle name="Hyperlink" xfId="1072"/>
    <cellStyle name="Followed Hyperlink" xfId="1073"/>
    <cellStyle name="Hyperlink" xfId="1074"/>
    <cellStyle name="Followed Hyperlink" xfId="1075"/>
    <cellStyle name="Hyperlink" xfId="1076"/>
    <cellStyle name="Followed Hyperlink" xfId="1077"/>
    <cellStyle name="Hyperlink" xfId="1078"/>
    <cellStyle name="Followed Hyperlink" xfId="1079"/>
    <cellStyle name="Hyperlink" xfId="1080"/>
    <cellStyle name="Followed Hyperlink" xfId="1081"/>
    <cellStyle name="Hyperlink" xfId="1082"/>
    <cellStyle name="Followed Hyperlink" xfId="1083"/>
    <cellStyle name="Hyperlink" xfId="1084"/>
    <cellStyle name="Followed Hyperlink" xfId="1085"/>
    <cellStyle name="Hyperlink" xfId="1086"/>
    <cellStyle name="Followed Hyperlink" xfId="1087"/>
    <cellStyle name="Hyperlink" xfId="1088"/>
    <cellStyle name="Followed Hyperlink" xfId="1089"/>
    <cellStyle name="Hyperlink" xfId="1090"/>
    <cellStyle name="Followed Hyperlink" xfId="1091"/>
    <cellStyle name="Hyperlink" xfId="1092"/>
    <cellStyle name="Followed Hyperlink" xfId="1093"/>
    <cellStyle name="Hyperlink" xfId="1094"/>
    <cellStyle name="Followed Hyperlink" xfId="1095"/>
    <cellStyle name="Hyperlink" xfId="1096"/>
    <cellStyle name="Followed Hyperlink" xfId="1097"/>
    <cellStyle name="Hyperlink" xfId="1098"/>
    <cellStyle name="Followed Hyperlink" xfId="1099"/>
    <cellStyle name="Hyperlink" xfId="1100"/>
    <cellStyle name="Followed Hyperlink" xfId="1101"/>
    <cellStyle name="Hyperlink" xfId="1102"/>
    <cellStyle name="Followed Hyperlink" xfId="1103"/>
    <cellStyle name="Hyperlink" xfId="1104"/>
    <cellStyle name="Followed Hyperlink" xfId="1105"/>
    <cellStyle name="Hyperlink" xfId="1106"/>
    <cellStyle name="Followed Hyperlink" xfId="1107"/>
    <cellStyle name="Hyperlink" xfId="1108"/>
    <cellStyle name="Followed Hyperlink" xfId="1109"/>
    <cellStyle name="Hyperlink" xfId="1110"/>
    <cellStyle name="Followed Hyperlink" xfId="1111"/>
    <cellStyle name="Hyperlink" xfId="1112"/>
    <cellStyle name="Followed Hyperlink" xfId="1113"/>
    <cellStyle name="Hyperlink" xfId="1114"/>
    <cellStyle name="Followed Hyperlink" xfId="1115"/>
    <cellStyle name="Hyperlink" xfId="1116"/>
    <cellStyle name="Followed Hyperlink" xfId="1117"/>
    <cellStyle name="Hyperlink" xfId="1118"/>
    <cellStyle name="Followed Hyperlink" xfId="1119"/>
    <cellStyle name="Hyperlink" xfId="1120"/>
    <cellStyle name="Followed Hyperlink" xfId="1121"/>
    <cellStyle name="Hyperlink" xfId="1122"/>
    <cellStyle name="Followed Hyperlink" xfId="1123"/>
    <cellStyle name="Hyperlink" xfId="1124"/>
    <cellStyle name="Followed Hyperlink" xfId="1125"/>
    <cellStyle name="Hyperlink" xfId="1126"/>
    <cellStyle name="Followed Hyperlink" xfId="1127"/>
    <cellStyle name="Hyperlink" xfId="1128"/>
    <cellStyle name="Followed Hyperlink" xfId="1129"/>
    <cellStyle name="Hyperlink" xfId="1130"/>
    <cellStyle name="Followed Hyperlink" xfId="1131"/>
    <cellStyle name="Hyperlink" xfId="1132"/>
    <cellStyle name="Followed Hyperlink" xfId="1133"/>
    <cellStyle name="Hyperlink" xfId="1134"/>
    <cellStyle name="Followed Hyperlink" xfId="1135"/>
    <cellStyle name="Hyperlink" xfId="1136"/>
    <cellStyle name="Followed Hyperlink" xfId="1137"/>
    <cellStyle name="Hyperlink" xfId="1138"/>
    <cellStyle name="Followed Hyperlink" xfId="1139"/>
    <cellStyle name="Hyperlink" xfId="1140"/>
    <cellStyle name="Followed Hyperlink" xfId="1141"/>
    <cellStyle name="Hyperlink" xfId="1142"/>
    <cellStyle name="Followed Hyperlink" xfId="1143"/>
    <cellStyle name="Hyperlink" xfId="1144"/>
    <cellStyle name="Followed Hyperlink" xfId="1145"/>
    <cellStyle name="Hyperlink" xfId="1146"/>
    <cellStyle name="Followed Hyperlink" xfId="1147"/>
    <cellStyle name="Hyperlink" xfId="1148"/>
    <cellStyle name="Followed Hyperlink" xfId="1149"/>
    <cellStyle name="Hyperlink" xfId="1150"/>
    <cellStyle name="Followed Hyperlink" xfId="1151"/>
    <cellStyle name="Hyperlink" xfId="1152"/>
    <cellStyle name="Followed Hyperlink" xfId="1153"/>
    <cellStyle name="Hyperlink" xfId="1154"/>
    <cellStyle name="Followed Hyperlink" xfId="1155"/>
    <cellStyle name="Hyperlink" xfId="1156"/>
    <cellStyle name="Followed Hyperlink" xfId="1157"/>
    <cellStyle name="Hyperlink" xfId="1158"/>
    <cellStyle name="Followed Hyperlink" xfId="1159"/>
    <cellStyle name="Hyperlink" xfId="1160"/>
    <cellStyle name="Followed Hyperlink" xfId="1161"/>
    <cellStyle name="Hyperlink" xfId="1162"/>
    <cellStyle name="Followed Hyperlink" xfId="1163"/>
    <cellStyle name="Hyperlink" xfId="1164"/>
    <cellStyle name="Followed Hyperlink" xfId="1165"/>
    <cellStyle name="Hyperlink" xfId="1166"/>
    <cellStyle name="Followed Hyperlink" xfId="1167"/>
    <cellStyle name="Hyperlink" xfId="1168"/>
    <cellStyle name="Followed Hyperlink" xfId="1169"/>
    <cellStyle name="Hyperlink" xfId="1170"/>
    <cellStyle name="Followed Hyperlink" xfId="1171"/>
    <cellStyle name="Hyperlink" xfId="1172"/>
    <cellStyle name="Followed Hyperlink" xfId="1173"/>
    <cellStyle name="Hyperlink" xfId="1174"/>
    <cellStyle name="Followed Hyperlink" xfId="1175"/>
    <cellStyle name="Hyperlink" xfId="1176"/>
    <cellStyle name="Followed Hyperlink" xfId="1177"/>
    <cellStyle name="Hyperlink" xfId="1178"/>
    <cellStyle name="Followed Hyperlink" xfId="1179"/>
    <cellStyle name="Hyperlink" xfId="1180"/>
    <cellStyle name="Followed Hyperlink" xfId="1181"/>
    <cellStyle name="Hyperlink" xfId="1182"/>
    <cellStyle name="Followed Hyperlink" xfId="1183"/>
    <cellStyle name="Hyperlink" xfId="1184"/>
    <cellStyle name="Followed Hyperlink" xfId="1185"/>
    <cellStyle name="Hyperlink" xfId="1186"/>
    <cellStyle name="Followed Hyperlink" xfId="1187"/>
    <cellStyle name="Hyperlink" xfId="1188"/>
    <cellStyle name="Followed Hyperlink" xfId="1189"/>
    <cellStyle name="Hyperlink" xfId="1190"/>
    <cellStyle name="Followed Hyperlink" xfId="1191"/>
    <cellStyle name="Hyperlink" xfId="1192"/>
    <cellStyle name="Followed Hyperlink" xfId="1193"/>
    <cellStyle name="Hyperlink" xfId="1194"/>
    <cellStyle name="Followed Hyperlink" xfId="1195"/>
    <cellStyle name="Hyperlink" xfId="1196"/>
    <cellStyle name="Followed Hyperlink" xfId="1197"/>
    <cellStyle name="Hyperlink" xfId="1198"/>
    <cellStyle name="Followed Hyperlink" xfId="1199"/>
    <cellStyle name="Hyperlink" xfId="1200"/>
    <cellStyle name="Followed Hyperlink" xfId="1201"/>
    <cellStyle name="Hyperlink" xfId="1202"/>
    <cellStyle name="Followed Hyperlink" xfId="1203"/>
    <cellStyle name="Hyperlink" xfId="1204"/>
    <cellStyle name="Followed Hyperlink" xfId="1205"/>
    <cellStyle name="Hyperlink" xfId="1206"/>
    <cellStyle name="Followed Hyperlink" xfId="1207"/>
    <cellStyle name="Hyperlink" xfId="1208"/>
    <cellStyle name="Followed Hyperlink" xfId="1209"/>
    <cellStyle name="Hyperlink" xfId="1210"/>
    <cellStyle name="Followed Hyperlink" xfId="1211"/>
    <cellStyle name="Hyperlink" xfId="1212"/>
    <cellStyle name="Followed Hyperlink" xfId="1213"/>
    <cellStyle name="Hyperlink" xfId="1214"/>
    <cellStyle name="Followed Hyperlink" xfId="1215"/>
    <cellStyle name="Hyperlink" xfId="1216"/>
    <cellStyle name="Followed Hyperlink" xfId="1217"/>
    <cellStyle name="Hyperlink" xfId="1218"/>
    <cellStyle name="Followed Hyperlink" xfId="1219"/>
    <cellStyle name="Hyperlink" xfId="1220"/>
    <cellStyle name="Followed Hyperlink" xfId="1221"/>
    <cellStyle name="Hyperlink" xfId="1222"/>
    <cellStyle name="Followed Hyperlink" xfId="1223"/>
    <cellStyle name="Hyperlink" xfId="1224"/>
    <cellStyle name="Followed Hyperlink" xfId="1225"/>
    <cellStyle name="Hyperlink" xfId="1226"/>
    <cellStyle name="Followed Hyperlink" xfId="1227"/>
    <cellStyle name="Hyperlink" xfId="1228"/>
    <cellStyle name="Followed Hyperlink" xfId="1229"/>
    <cellStyle name="Hyperlink" xfId="1230"/>
    <cellStyle name="Followed Hyperlink" xfId="1231"/>
    <cellStyle name="Hyperlink" xfId="1232"/>
    <cellStyle name="Followed Hyperlink" xfId="1233"/>
    <cellStyle name="Hyperlink" xfId="1234"/>
    <cellStyle name="Followed Hyperlink" xfId="1235"/>
    <cellStyle name="Hyperlink" xfId="1236"/>
    <cellStyle name="Followed Hyperlink" xfId="1237"/>
    <cellStyle name="Hyperlink" xfId="1238"/>
    <cellStyle name="Followed Hyperlink" xfId="1239"/>
    <cellStyle name="Hyperlink" xfId="1240"/>
    <cellStyle name="Followed Hyperlink" xfId="1241"/>
    <cellStyle name="Hyperlink" xfId="1242"/>
    <cellStyle name="Followed Hyperlink" xfId="1243"/>
    <cellStyle name="Hyperlink" xfId="1244"/>
    <cellStyle name="Followed Hyperlink" xfId="1245"/>
    <cellStyle name="Hyperlink" xfId="1246"/>
    <cellStyle name="Followed Hyperlink" xfId="1247"/>
    <cellStyle name="Hyperlink" xfId="1248"/>
    <cellStyle name="Followed Hyperlink" xfId="1249"/>
    <cellStyle name="Hyperlink" xfId="1250"/>
    <cellStyle name="Followed Hyperlink" xfId="1251"/>
    <cellStyle name="Hyperlink" xfId="1252"/>
    <cellStyle name="Followed Hyperlink" xfId="1253"/>
    <cellStyle name="Hyperlink" xfId="1254"/>
    <cellStyle name="Followed Hyperlink" xfId="1255"/>
    <cellStyle name="Hyperlink" xfId="1256"/>
    <cellStyle name="Followed Hyperlink" xfId="1257"/>
    <cellStyle name="Hyperlink" xfId="1258"/>
    <cellStyle name="Followed Hyperlink" xfId="1259"/>
    <cellStyle name="Hyperlink" xfId="1260"/>
    <cellStyle name="Followed Hyperlink" xfId="1261"/>
    <cellStyle name="Hyperlink" xfId="1262"/>
    <cellStyle name="Followed Hyperlink" xfId="1263"/>
    <cellStyle name="Hyperlink" xfId="1264"/>
    <cellStyle name="Followed Hyperlink" xfId="1265"/>
    <cellStyle name="Hyperlink" xfId="1266"/>
    <cellStyle name="Followed Hyperlink" xfId="1267"/>
    <cellStyle name="Hyperlink" xfId="1268"/>
    <cellStyle name="Followed Hyperlink" xfId="1269"/>
    <cellStyle name="Hyperlink" xfId="1270"/>
    <cellStyle name="Followed Hyperlink" xfId="1271"/>
    <cellStyle name="Hyperlink" xfId="1272"/>
    <cellStyle name="Followed Hyperlink" xfId="1273"/>
    <cellStyle name="Hyperlink" xfId="1274"/>
    <cellStyle name="Followed Hyperlink" xfId="1275"/>
    <cellStyle name="Hyperlink" xfId="1276"/>
    <cellStyle name="Followed Hyperlink" xfId="1277"/>
    <cellStyle name="Hyperlink" xfId="1278"/>
    <cellStyle name="Followed Hyperlink" xfId="1279"/>
    <cellStyle name="Hyperlink" xfId="1280"/>
    <cellStyle name="Followed Hyperlink" xfId="1281"/>
    <cellStyle name="Hyperlink" xfId="1282"/>
    <cellStyle name="Followed Hyperlink" xfId="1283"/>
    <cellStyle name="Hyperlink" xfId="1284"/>
    <cellStyle name="Followed Hyperlink" xfId="1285"/>
    <cellStyle name="Hyperlink" xfId="1286"/>
    <cellStyle name="Followed Hyperlink" xfId="1287"/>
    <cellStyle name="Hyperlink" xfId="1288"/>
    <cellStyle name="Followed Hyperlink" xfId="1289"/>
    <cellStyle name="Hyperlink" xfId="1290"/>
    <cellStyle name="Followed Hyperlink" xfId="1291"/>
    <cellStyle name="Hyperlink" xfId="1292"/>
    <cellStyle name="Followed Hyperlink" xfId="1293"/>
    <cellStyle name="Hyperlink" xfId="1294"/>
    <cellStyle name="Followed Hyperlink" xfId="1295"/>
    <cellStyle name="Hyperlink" xfId="1296"/>
    <cellStyle name="Followed Hyperlink" xfId="1297"/>
    <cellStyle name="Hyperlink" xfId="1298"/>
    <cellStyle name="Followed Hyperlink" xfId="1299"/>
    <cellStyle name="Hyperlink" xfId="1300"/>
    <cellStyle name="Followed Hyperlink" xfId="1301"/>
    <cellStyle name="Hyperlink" xfId="1302"/>
    <cellStyle name="Followed Hyperlink" xfId="1303"/>
    <cellStyle name="Hyperlink" xfId="1304"/>
    <cellStyle name="Followed Hyperlink" xfId="1305"/>
    <cellStyle name="Hyperlink" xfId="1306"/>
    <cellStyle name="Followed Hyperlink" xfId="1307"/>
    <cellStyle name="Hyperlink" xfId="1308"/>
    <cellStyle name="Followed Hyperlink" xfId="1309"/>
    <cellStyle name="Hyperlink" xfId="1310"/>
    <cellStyle name="Followed Hyperlink" xfId="1311"/>
    <cellStyle name="Hyperlink" xfId="1312"/>
    <cellStyle name="Followed Hyperlink" xfId="1313"/>
    <cellStyle name="Hyperlink" xfId="1314"/>
    <cellStyle name="Followed Hyperlink" xfId="1315"/>
    <cellStyle name="Hyperlink" xfId="1316"/>
    <cellStyle name="Followed Hyperlink" xfId="1317"/>
    <cellStyle name="Hyperlink" xfId="1318"/>
    <cellStyle name="Followed Hyperlink" xfId="1319"/>
    <cellStyle name="Hyperlink" xfId="1320"/>
    <cellStyle name="Followed Hyperlink" xfId="1321"/>
    <cellStyle name="Hyperlink" xfId="1322"/>
    <cellStyle name="Followed Hyperlink" xfId="1323"/>
    <cellStyle name="Hyperlink" xfId="1324"/>
    <cellStyle name="Followed Hyperlink" xfId="1325"/>
    <cellStyle name="Hyperlink" xfId="1326"/>
    <cellStyle name="Followed Hyperlink" xfId="1327"/>
    <cellStyle name="Hyperlink" xfId="1328"/>
    <cellStyle name="Followed Hyperlink" xfId="1329"/>
    <cellStyle name="Hyperlink" xfId="1330"/>
    <cellStyle name="Followed Hyperlink" xfId="1331"/>
    <cellStyle name="Hyperlink" xfId="1332"/>
    <cellStyle name="Followed Hyperlink" xfId="1333"/>
    <cellStyle name="Hyperlink" xfId="1334"/>
    <cellStyle name="Followed Hyperlink" xfId="1335"/>
    <cellStyle name="Hyperlink" xfId="1336"/>
    <cellStyle name="Followed Hyperlink" xfId="1337"/>
    <cellStyle name="Hyperlink" xfId="1338"/>
    <cellStyle name="Followed Hyperlink" xfId="1339"/>
    <cellStyle name="Hyperlink" xfId="1340"/>
    <cellStyle name="Followed Hyperlink" xfId="1341"/>
    <cellStyle name="Hyperlink" xfId="1342"/>
    <cellStyle name="Followed Hyperlink" xfId="1343"/>
    <cellStyle name="Hyperlink" xfId="1344"/>
    <cellStyle name="Followed Hyperlink" xfId="1345"/>
    <cellStyle name="Hyperlink" xfId="1346"/>
    <cellStyle name="Followed Hyperlink" xfId="1347"/>
    <cellStyle name="Hyperlink" xfId="1348"/>
    <cellStyle name="Followed Hyperlink" xfId="1349"/>
    <cellStyle name="Hyperlink" xfId="1350"/>
    <cellStyle name="Followed Hyperlink" xfId="1351"/>
    <cellStyle name="Hyperlink" xfId="1352"/>
    <cellStyle name="Followed Hyperlink" xfId="1353"/>
    <cellStyle name="Hyperlink" xfId="1354"/>
    <cellStyle name="Followed Hyperlink" xfId="1355"/>
    <cellStyle name="Hyperlink" xfId="1356"/>
    <cellStyle name="Followed Hyperlink" xfId="1357"/>
    <cellStyle name="Hyperlink" xfId="1358"/>
    <cellStyle name="Followed Hyperlink" xfId="1359"/>
    <cellStyle name="Hyperlink" xfId="1360"/>
    <cellStyle name="Followed Hyperlink" xfId="1361"/>
    <cellStyle name="Hyperlink" xfId="1362"/>
    <cellStyle name="Followed Hyperlink" xfId="1363"/>
    <cellStyle name="Hyperlink" xfId="1364"/>
    <cellStyle name="Followed Hyperlink" xfId="1365"/>
    <cellStyle name="Hyperlink" xfId="1366"/>
    <cellStyle name="Followed Hyperlink" xfId="1367"/>
    <cellStyle name="Hyperlink" xfId="1368"/>
    <cellStyle name="Followed Hyperlink" xfId="1369"/>
    <cellStyle name="Hyperlink" xfId="1370"/>
    <cellStyle name="Followed Hyperlink" xfId="1371"/>
    <cellStyle name="Hyperlink" xfId="1372"/>
    <cellStyle name="Followed Hyperlink" xfId="1373"/>
    <cellStyle name="Hyperlink" xfId="1374"/>
    <cellStyle name="Followed Hyperlink" xfId="1375"/>
    <cellStyle name="Hyperlink" xfId="1376"/>
    <cellStyle name="Followed Hyperlink" xfId="1377"/>
    <cellStyle name="Hyperlink" xfId="1378"/>
    <cellStyle name="Followed Hyperlink" xfId="1379"/>
    <cellStyle name="Hyperlink" xfId="1380"/>
    <cellStyle name="Followed Hyperlink" xfId="1381"/>
    <cellStyle name="Hyperlink" xfId="1382"/>
    <cellStyle name="Followed Hyperlink" xfId="1383"/>
    <cellStyle name="Hyperlink" xfId="1384"/>
    <cellStyle name="Followed Hyperlink" xfId="1385"/>
    <cellStyle name="Hyperlink" xfId="1386"/>
    <cellStyle name="Followed Hyperlink" xfId="1387"/>
    <cellStyle name="Hyperlink" xfId="1388"/>
    <cellStyle name="Followed Hyperlink" xfId="1389"/>
    <cellStyle name="Hyperlink" xfId="1390"/>
    <cellStyle name="Followed Hyperlink" xfId="1391"/>
    <cellStyle name="Hyperlink" xfId="1392"/>
    <cellStyle name="Followed Hyperlink" xfId="1393"/>
    <cellStyle name="Hyperlink" xfId="1394"/>
    <cellStyle name="Followed Hyperlink" xfId="1395"/>
    <cellStyle name="Hyperlink" xfId="1396"/>
    <cellStyle name="Followed Hyperlink" xfId="1397"/>
    <cellStyle name="Hyperlink" xfId="1398"/>
    <cellStyle name="Followed Hyperlink" xfId="1399"/>
    <cellStyle name="Hyperlink" xfId="1400"/>
    <cellStyle name="Followed Hyperlink" xfId="1401"/>
    <cellStyle name="Hyperlink" xfId="1402"/>
    <cellStyle name="Followed Hyperlink" xfId="1403"/>
    <cellStyle name="Hyperlink" xfId="1404"/>
    <cellStyle name="Followed Hyperlink" xfId="1405"/>
    <cellStyle name="Hyperlink" xfId="1406"/>
    <cellStyle name="Followed Hyperlink" xfId="1407"/>
    <cellStyle name="Hyperlink" xfId="1408"/>
    <cellStyle name="Followed Hyperlink" xfId="1409"/>
    <cellStyle name="Hyperlink" xfId="1410"/>
    <cellStyle name="Followed Hyperlink" xfId="1411"/>
    <cellStyle name="Hyperlink" xfId="1412"/>
    <cellStyle name="Followed Hyperlink" xfId="1413"/>
    <cellStyle name="Hyperlink" xfId="1414"/>
    <cellStyle name="Followed Hyperlink" xfId="1415"/>
    <cellStyle name="Hyperlink" xfId="1416"/>
    <cellStyle name="Followed Hyperlink" xfId="1417"/>
    <cellStyle name="Hyperlink" xfId="1418"/>
    <cellStyle name="Followed Hyperlink" xfId="1419"/>
    <cellStyle name="Hyperlink" xfId="1420"/>
    <cellStyle name="Followed Hyperlink" xfId="1421"/>
    <cellStyle name="Hyperlink" xfId="1422"/>
    <cellStyle name="Followed Hyperlink" xfId="1423"/>
    <cellStyle name="Hyperlink" xfId="1424"/>
    <cellStyle name="Followed Hyperlink" xfId="1425"/>
    <cellStyle name="Hyperlink" xfId="1426"/>
    <cellStyle name="Followed Hyperlink" xfId="1427"/>
    <cellStyle name="Hyperlink" xfId="1428"/>
    <cellStyle name="Followed Hyperlink" xfId="1429"/>
    <cellStyle name="Hyperlink" xfId="1430"/>
    <cellStyle name="Followed Hyperlink" xfId="1431"/>
    <cellStyle name="Hyperlink" xfId="1432"/>
    <cellStyle name="Followed Hyperlink" xfId="1433"/>
    <cellStyle name="Hyperlink" xfId="1434"/>
    <cellStyle name="Followed Hyperlink" xfId="1435"/>
    <cellStyle name="Hyperlink" xfId="1436"/>
    <cellStyle name="Followed Hyperlink" xfId="1437"/>
    <cellStyle name="Hyperlink" xfId="1438"/>
    <cellStyle name="Followed Hyperlink" xfId="1439"/>
    <cellStyle name="Hyperlink" xfId="1440"/>
    <cellStyle name="Followed Hyperlink" xfId="1441"/>
    <cellStyle name="Hyperlink" xfId="1442"/>
    <cellStyle name="Followed Hyperlink" xfId="1443"/>
    <cellStyle name="Hyperlink" xfId="1444"/>
    <cellStyle name="Followed Hyperlink" xfId="1445"/>
    <cellStyle name="Hyperlink" xfId="1446"/>
    <cellStyle name="Followed Hyperlink" xfId="1447"/>
    <cellStyle name="Hyperlink" xfId="1448"/>
    <cellStyle name="Followed Hyperlink" xfId="1449"/>
    <cellStyle name="Hyperlink" xfId="1450"/>
    <cellStyle name="Followed Hyperlink" xfId="1451"/>
    <cellStyle name="Hyperlink" xfId="1452"/>
    <cellStyle name="Followed Hyperlink" xfId="1453"/>
    <cellStyle name="Hyperlink" xfId="1454"/>
    <cellStyle name="Followed Hyperlink" xfId="1455"/>
    <cellStyle name="Hyperlink" xfId="1456"/>
    <cellStyle name="Followed Hyperlink" xfId="1457"/>
    <cellStyle name="Hyperlink" xfId="1458"/>
    <cellStyle name="Followed Hyperlink" xfId="1459"/>
    <cellStyle name="Hyperlink" xfId="1460"/>
    <cellStyle name="Followed Hyperlink" xfId="1461"/>
    <cellStyle name="Hyperlink" xfId="1462"/>
    <cellStyle name="Followed Hyperlink" xfId="1463"/>
    <cellStyle name="Hyperlink" xfId="1464"/>
    <cellStyle name="Followed Hyperlink" xfId="1465"/>
    <cellStyle name="Hyperlink" xfId="1466"/>
    <cellStyle name="Followed Hyperlink" xfId="1467"/>
    <cellStyle name="Hyperlink" xfId="1468"/>
    <cellStyle name="Followed Hyperlink" xfId="1469"/>
    <cellStyle name="Hyperlink" xfId="1470"/>
    <cellStyle name="Followed Hyperlink" xfId="1471"/>
    <cellStyle name="Hyperlink" xfId="1472"/>
    <cellStyle name="Followed Hyperlink" xfId="1473"/>
    <cellStyle name="Hyperlink" xfId="1474"/>
    <cellStyle name="Followed Hyperlink" xfId="1475"/>
    <cellStyle name="Hyperlink" xfId="1476"/>
    <cellStyle name="Followed Hyperlink" xfId="1477"/>
    <cellStyle name="Hyperlink" xfId="1478"/>
    <cellStyle name="Followed Hyperlink" xfId="1479"/>
    <cellStyle name="Hyperlink" xfId="1480"/>
    <cellStyle name="Followed Hyperlink" xfId="1481"/>
    <cellStyle name="Hyperlink" xfId="1482"/>
    <cellStyle name="Followed Hyperlink" xfId="1483"/>
    <cellStyle name="Hyperlink" xfId="1484"/>
    <cellStyle name="Followed Hyperlink" xfId="1485"/>
    <cellStyle name="Hyperlink" xfId="1486"/>
    <cellStyle name="Followed Hyperlink" xfId="1487"/>
    <cellStyle name="Hyperlink" xfId="1488"/>
    <cellStyle name="Followed Hyperlink" xfId="1489"/>
    <cellStyle name="Hyperlink" xfId="1490"/>
    <cellStyle name="Followed Hyperlink" xfId="1491"/>
    <cellStyle name="Hyperlink" xfId="1492"/>
    <cellStyle name="Followed Hyperlink" xfId="1493"/>
    <cellStyle name="Hyperlink" xfId="1494"/>
    <cellStyle name="Followed Hyperlink" xfId="1495"/>
    <cellStyle name="Hyperlink" xfId="1496"/>
    <cellStyle name="Followed Hyperlink" xfId="1497"/>
    <cellStyle name="Hyperlink" xfId="1498"/>
    <cellStyle name="Followed Hyperlink" xfId="1499"/>
    <cellStyle name="Hyperlink" xfId="1500"/>
    <cellStyle name="Followed Hyperlink" xfId="1501"/>
    <cellStyle name="Hyperlink" xfId="1502"/>
    <cellStyle name="Followed Hyperlink" xfId="1503"/>
    <cellStyle name="Hyperlink" xfId="1504"/>
    <cellStyle name="Followed Hyperlink" xfId="1505"/>
    <cellStyle name="Hyperlink" xfId="1506"/>
    <cellStyle name="Followed Hyperlink" xfId="1507"/>
    <cellStyle name="Hyperlink" xfId="1508"/>
    <cellStyle name="Followed Hyperlink" xfId="1509"/>
    <cellStyle name="Hyperlink" xfId="1510"/>
    <cellStyle name="Followed Hyperlink" xfId="1511"/>
    <cellStyle name="Hyperlink" xfId="1512"/>
    <cellStyle name="Followed Hyperlink" xfId="1513"/>
    <cellStyle name="Hyperlink" xfId="1514"/>
    <cellStyle name="Followed Hyperlink" xfId="1515"/>
    <cellStyle name="Hyperlink" xfId="1516"/>
    <cellStyle name="Followed Hyperlink" xfId="1517"/>
    <cellStyle name="Hyperlink" xfId="1518"/>
    <cellStyle name="Followed Hyperlink" xfId="1519"/>
    <cellStyle name="Hyperlink" xfId="1520"/>
    <cellStyle name="Followed Hyperlink" xfId="1521"/>
    <cellStyle name="Hyperlink" xfId="1522"/>
    <cellStyle name="Followed Hyperlink" xfId="1523"/>
    <cellStyle name="Hyperlink" xfId="1524"/>
    <cellStyle name="Followed Hyperlink" xfId="1525"/>
    <cellStyle name="Hyperlink" xfId="1526"/>
    <cellStyle name="Followed Hyperlink" xfId="1527"/>
    <cellStyle name="Hyperlink" xfId="1528"/>
    <cellStyle name="Followed Hyperlink" xfId="1529"/>
    <cellStyle name="Hyperlink" xfId="1530"/>
    <cellStyle name="Followed Hyperlink" xfId="1531"/>
    <cellStyle name="Hyperlink" xfId="1532"/>
    <cellStyle name="Followed Hyperlink" xfId="1533"/>
    <cellStyle name="Hyperlink" xfId="1534"/>
    <cellStyle name="Followed Hyperlink" xfId="1535"/>
    <cellStyle name="Hyperlink" xfId="1536"/>
    <cellStyle name="Followed Hyperlink" xfId="1537"/>
    <cellStyle name="Hyperlink" xfId="1538"/>
    <cellStyle name="Followed Hyperlink" xfId="1539"/>
    <cellStyle name="Hyperlink" xfId="1540"/>
    <cellStyle name="Followed Hyperlink" xfId="1541"/>
    <cellStyle name="Hyperlink" xfId="1542"/>
    <cellStyle name="Followed Hyperlink" xfId="1543"/>
    <cellStyle name="Hyperlink" xfId="1544"/>
    <cellStyle name="Followed Hyperlink" xfId="1545"/>
    <cellStyle name="Hyperlink" xfId="1546"/>
    <cellStyle name="Followed Hyperlink" xfId="1547"/>
    <cellStyle name="Hyperlink" xfId="1548"/>
    <cellStyle name="Followed Hyperlink" xfId="1549"/>
    <cellStyle name="Hyperlink" xfId="1550"/>
    <cellStyle name="Followed Hyperlink" xfId="1551"/>
    <cellStyle name="Hyperlink" xfId="1552"/>
    <cellStyle name="Followed Hyperlink" xfId="1553"/>
    <cellStyle name="Hyperlink" xfId="1554"/>
    <cellStyle name="Followed Hyperlink" xfId="1555"/>
    <cellStyle name="Hyperlink" xfId="1556"/>
    <cellStyle name="Followed Hyperlink" xfId="1557"/>
    <cellStyle name="Hyperlink" xfId="1558"/>
    <cellStyle name="Followed Hyperlink" xfId="1559"/>
    <cellStyle name="Hyperlink" xfId="1560"/>
    <cellStyle name="Followed Hyperlink" xfId="1561"/>
    <cellStyle name="Hyperlink" xfId="1562"/>
    <cellStyle name="Followed Hyperlink" xfId="1563"/>
    <cellStyle name="Hyperlink" xfId="1564"/>
    <cellStyle name="Followed Hyperlink" xfId="1565"/>
    <cellStyle name="Hyperlink" xfId="1566"/>
    <cellStyle name="Followed Hyperlink" xfId="1567"/>
    <cellStyle name="Hyperlink" xfId="1568"/>
    <cellStyle name="Followed Hyperlink" xfId="1569"/>
    <cellStyle name="Hyperlink" xfId="1570"/>
    <cellStyle name="Followed Hyperlink" xfId="1571"/>
    <cellStyle name="Hyperlink" xfId="1572"/>
    <cellStyle name="Followed Hyperlink" xfId="1573"/>
    <cellStyle name="Hyperlink" xfId="1574"/>
    <cellStyle name="Followed Hyperlink" xfId="1575"/>
    <cellStyle name="Hyperlink" xfId="1576"/>
    <cellStyle name="Followed Hyperlink" xfId="1577"/>
    <cellStyle name="Hyperlink" xfId="1578"/>
    <cellStyle name="Followed Hyperlink" xfId="1579"/>
    <cellStyle name="Hyperlink" xfId="1580"/>
    <cellStyle name="Followed Hyperlink" xfId="1581"/>
    <cellStyle name="Hyperlink" xfId="1582"/>
    <cellStyle name="Followed Hyperlink" xfId="1583"/>
    <cellStyle name="Hyperlink" xfId="1584"/>
    <cellStyle name="Followed Hyperlink" xfId="1585"/>
    <cellStyle name="Hyperlink" xfId="1586"/>
    <cellStyle name="Followed Hyperlink" xfId="1587"/>
    <cellStyle name="Hyperlink" xfId="1588"/>
    <cellStyle name="Followed Hyperlink" xfId="1589"/>
    <cellStyle name="Hyperlink" xfId="1590"/>
    <cellStyle name="Followed Hyperlink" xfId="1591"/>
    <cellStyle name="Hyperlink" xfId="1592"/>
    <cellStyle name="Followed Hyperlink" xfId="1593"/>
    <cellStyle name="Hyperlink" xfId="1594"/>
    <cellStyle name="Followed Hyperlink" xfId="1595"/>
    <cellStyle name="Hyperlink" xfId="1596"/>
    <cellStyle name="Followed Hyperlink" xfId="1597"/>
    <cellStyle name="Hyperlink" xfId="1598"/>
    <cellStyle name="Followed Hyperlink" xfId="1599"/>
    <cellStyle name="Hyperlink" xfId="1600"/>
    <cellStyle name="Followed Hyperlink" xfId="1601"/>
    <cellStyle name="Hyperlink" xfId="1602"/>
    <cellStyle name="Followed Hyperlink" xfId="1603"/>
    <cellStyle name="Hyperlink" xfId="1604"/>
    <cellStyle name="Followed Hyperlink" xfId="1605"/>
    <cellStyle name="Hyperlink" xfId="1606"/>
    <cellStyle name="Followed Hyperlink" xfId="1607"/>
    <cellStyle name="Hyperlink" xfId="1608"/>
    <cellStyle name="Followed Hyperlink" xfId="1609"/>
    <cellStyle name="Hyperlink" xfId="1610"/>
    <cellStyle name="Followed Hyperlink" xfId="1611"/>
    <cellStyle name="Hyperlink" xfId="1612"/>
    <cellStyle name="Followed Hyperlink" xfId="1613"/>
    <cellStyle name="Hyperlink" xfId="1614"/>
    <cellStyle name="Followed Hyperlink" xfId="1615"/>
    <cellStyle name="Hyperlink" xfId="1616"/>
    <cellStyle name="Followed Hyperlink" xfId="1617"/>
    <cellStyle name="Hyperlink" xfId="1618"/>
    <cellStyle name="Followed Hyperlink" xfId="1619"/>
    <cellStyle name="Hyperlink" xfId="1620"/>
    <cellStyle name="Followed Hyperlink" xfId="1621"/>
    <cellStyle name="Hyperlink" xfId="1622"/>
    <cellStyle name="Followed Hyperlink" xfId="1623"/>
    <cellStyle name="Hyperlink" xfId="1624"/>
    <cellStyle name="Followed Hyperlink" xfId="1625"/>
    <cellStyle name="Hyperlink" xfId="1626"/>
    <cellStyle name="Followed Hyperlink" xfId="1627"/>
    <cellStyle name="Hyperlink" xfId="1628"/>
    <cellStyle name="Followed Hyperlink" xfId="1629"/>
    <cellStyle name="Hyperlink" xfId="1630"/>
    <cellStyle name="Followed Hyperlink" xfId="1631"/>
    <cellStyle name="Hyperlink" xfId="1632"/>
    <cellStyle name="Followed Hyperlink" xfId="1633"/>
    <cellStyle name="Hyperlink" xfId="1634"/>
    <cellStyle name="Followed Hyperlink" xfId="1635"/>
    <cellStyle name="Hyperlink" xfId="1636"/>
    <cellStyle name="Followed Hyperlink" xfId="1637"/>
    <cellStyle name="Hyperlink" xfId="1638"/>
    <cellStyle name="Followed Hyperlink" xfId="1639"/>
    <cellStyle name="Hyperlink" xfId="1640"/>
    <cellStyle name="Followed Hyperlink" xfId="1641"/>
    <cellStyle name="Hyperlink" xfId="1642"/>
    <cellStyle name="Followed Hyperlink" xfId="1643"/>
    <cellStyle name="Hyperlink" xfId="1644"/>
    <cellStyle name="Followed Hyperlink" xfId="1645"/>
    <cellStyle name="Hyperlink" xfId="1646"/>
    <cellStyle name="Followed Hyperlink" xfId="1647"/>
    <cellStyle name="Hyperlink" xfId="1648"/>
    <cellStyle name="Followed Hyperlink" xfId="1649"/>
    <cellStyle name="Hyperlink" xfId="1650"/>
    <cellStyle name="Followed Hyperlink" xfId="1651"/>
    <cellStyle name="Hyperlink" xfId="1652"/>
    <cellStyle name="Followed Hyperlink" xfId="1653"/>
    <cellStyle name="Hyperlink" xfId="1654"/>
    <cellStyle name="Followed Hyperlink" xfId="1655"/>
    <cellStyle name="Hyperlink" xfId="1656"/>
    <cellStyle name="Followed Hyperlink" xfId="1657"/>
    <cellStyle name="Hyperlink" xfId="1658"/>
    <cellStyle name="Followed Hyperlink" xfId="1659"/>
    <cellStyle name="Hyperlink" xfId="1660"/>
    <cellStyle name="Followed Hyperlink" xfId="1661"/>
    <cellStyle name="Hyperlink" xfId="1662"/>
    <cellStyle name="Followed Hyperlink" xfId="1663"/>
    <cellStyle name="Hyperlink" xfId="1664"/>
    <cellStyle name="Followed Hyperlink" xfId="1665"/>
    <cellStyle name="Hyperlink" xfId="1666"/>
    <cellStyle name="Followed Hyperlink" xfId="1667"/>
    <cellStyle name="Hyperlink" xfId="1668"/>
    <cellStyle name="Followed Hyperlink" xfId="1669"/>
    <cellStyle name="Hyperlink" xfId="1670"/>
    <cellStyle name="Followed Hyperlink" xfId="1671"/>
    <cellStyle name="Hyperlink" xfId="1672"/>
    <cellStyle name="Followed Hyperlink" xfId="1673"/>
    <cellStyle name="Hyperlink" xfId="1674"/>
    <cellStyle name="Followed Hyperlink" xfId="1675"/>
    <cellStyle name="Hyperlink" xfId="1676"/>
    <cellStyle name="Followed Hyperlink" xfId="1677"/>
    <cellStyle name="Hyperlink" xfId="1678"/>
    <cellStyle name="Followed Hyperlink" xfId="1679"/>
    <cellStyle name="Hyperlink" xfId="1680"/>
    <cellStyle name="Followed Hyperlink" xfId="1681"/>
    <cellStyle name="Hyperlink" xfId="1682"/>
    <cellStyle name="Followed Hyperlink" xfId="1683"/>
    <cellStyle name="Hyperlink" xfId="1684"/>
    <cellStyle name="Followed Hyperlink" xfId="1685"/>
    <cellStyle name="Hyperlink" xfId="1686"/>
    <cellStyle name="Followed Hyperlink" xfId="1687"/>
    <cellStyle name="Hyperlink" xfId="1688"/>
    <cellStyle name="Followed Hyperlink" xfId="1689"/>
    <cellStyle name="Hyperlink" xfId="1690"/>
    <cellStyle name="Followed Hyperlink" xfId="1691"/>
    <cellStyle name="Hyperlink" xfId="1692"/>
    <cellStyle name="Followed Hyperlink" xfId="1693"/>
    <cellStyle name="Hyperlink" xfId="1694"/>
    <cellStyle name="Followed Hyperlink" xfId="1695"/>
    <cellStyle name="Hyperlink" xfId="1696"/>
    <cellStyle name="Followed Hyperlink" xfId="1697"/>
    <cellStyle name="Hyperlink" xfId="1698"/>
    <cellStyle name="Followed Hyperlink" xfId="1699"/>
    <cellStyle name="Hyperlink" xfId="1700"/>
    <cellStyle name="Followed Hyperlink" xfId="1701"/>
    <cellStyle name="Hyperlink" xfId="1702"/>
    <cellStyle name="Followed Hyperlink" xfId="1703"/>
    <cellStyle name="Hyperlink" xfId="1704"/>
    <cellStyle name="Followed Hyperlink" xfId="1705"/>
    <cellStyle name="Hyperlink" xfId="1706"/>
    <cellStyle name="Followed Hyperlink" xfId="1707"/>
    <cellStyle name="Hyperlink" xfId="1708"/>
    <cellStyle name="Followed Hyperlink" xfId="1709"/>
    <cellStyle name="Hyperlink" xfId="1710"/>
    <cellStyle name="Followed Hyperlink" xfId="1711"/>
    <cellStyle name="Hyperlink" xfId="1712"/>
    <cellStyle name="Followed Hyperlink" xfId="1713"/>
    <cellStyle name="Hyperlink" xfId="1714"/>
    <cellStyle name="Followed Hyperlink" xfId="1715"/>
    <cellStyle name="Hyperlink" xfId="1716"/>
    <cellStyle name="Followed Hyperlink" xfId="1717"/>
    <cellStyle name="Hyperlink" xfId="1718"/>
    <cellStyle name="Followed Hyperlink" xfId="1719"/>
    <cellStyle name="Hyperlink" xfId="1720"/>
    <cellStyle name="Followed Hyperlink" xfId="1721"/>
    <cellStyle name="Hyperlink" xfId="1722"/>
    <cellStyle name="Followed Hyperlink" xfId="1723"/>
    <cellStyle name="Hyperlink" xfId="1724"/>
    <cellStyle name="Followed Hyperlink" xfId="1725"/>
    <cellStyle name="Hyperlink" xfId="1726"/>
    <cellStyle name="Followed Hyperlink" xfId="1727"/>
    <cellStyle name="Hyperlink" xfId="1728"/>
    <cellStyle name="Followed Hyperlink" xfId="1729"/>
    <cellStyle name="Hyperlink" xfId="1730"/>
    <cellStyle name="Followed Hyperlink" xfId="1731"/>
    <cellStyle name="Hyperlink" xfId="1732"/>
    <cellStyle name="Followed Hyperlink" xfId="1733"/>
    <cellStyle name="Hyperlink" xfId="1734"/>
    <cellStyle name="Followed Hyperlink" xfId="1735"/>
    <cellStyle name="Hyperlink" xfId="1736"/>
    <cellStyle name="Followed Hyperlink" xfId="1737"/>
    <cellStyle name="Hyperlink" xfId="1738"/>
    <cellStyle name="Followed Hyperlink" xfId="1739"/>
    <cellStyle name="Hyperlink" xfId="1740"/>
    <cellStyle name="Followed Hyperlink" xfId="1741"/>
    <cellStyle name="Hyperlink" xfId="1742"/>
    <cellStyle name="Followed Hyperlink" xfId="1743"/>
    <cellStyle name="Hyperlink" xfId="1744"/>
    <cellStyle name="Followed Hyperlink" xfId="1745"/>
    <cellStyle name="Hyperlink" xfId="1746"/>
    <cellStyle name="Followed Hyperlink" xfId="1747"/>
    <cellStyle name="Hyperlink" xfId="1748"/>
    <cellStyle name="Followed Hyperlink" xfId="1749"/>
    <cellStyle name="Hyperlink" xfId="1750"/>
    <cellStyle name="Followed Hyperlink" xfId="1751"/>
    <cellStyle name="Hyperlink" xfId="1752"/>
    <cellStyle name="Followed Hyperlink" xfId="1753"/>
    <cellStyle name="Hyperlink" xfId="1754"/>
    <cellStyle name="Followed Hyperlink" xfId="1755"/>
    <cellStyle name="Hyperlink" xfId="1756"/>
    <cellStyle name="Followed Hyperlink" xfId="1757"/>
    <cellStyle name="Hyperlink" xfId="1758"/>
    <cellStyle name="Followed Hyperlink" xfId="1759"/>
    <cellStyle name="Hyperlink" xfId="1760"/>
    <cellStyle name="Followed Hyperlink" xfId="1761"/>
    <cellStyle name="Hyperlink" xfId="1762"/>
    <cellStyle name="Followed Hyperlink" xfId="1763"/>
    <cellStyle name="Hyperlink" xfId="1764"/>
    <cellStyle name="Followed Hyperlink" xfId="1765"/>
    <cellStyle name="Hyperlink" xfId="1766"/>
    <cellStyle name="Followed Hyperlink" xfId="1767"/>
    <cellStyle name="Hyperlink" xfId="1768"/>
    <cellStyle name="Followed Hyperlink" xfId="1769"/>
    <cellStyle name="Hyperlink" xfId="1770"/>
    <cellStyle name="Followed Hyperlink" xfId="1771"/>
    <cellStyle name="Hyperlink" xfId="1772"/>
    <cellStyle name="Followed Hyperlink" xfId="1773"/>
    <cellStyle name="Hyperlink" xfId="1774"/>
    <cellStyle name="Followed Hyperlink" xfId="1775"/>
    <cellStyle name="Hyperlink" xfId="1776"/>
    <cellStyle name="Followed Hyperlink" xfId="1777"/>
    <cellStyle name="Hyperlink" xfId="1778"/>
    <cellStyle name="Followed Hyperlink" xfId="1779"/>
    <cellStyle name="Hyperlink" xfId="1780"/>
    <cellStyle name="Followed Hyperlink" xfId="1781"/>
    <cellStyle name="Hyperlink" xfId="1782"/>
    <cellStyle name="Followed Hyperlink" xfId="1783"/>
    <cellStyle name="Hyperlink" xfId="1784"/>
    <cellStyle name="Followed Hyperlink" xfId="1785"/>
    <cellStyle name="Hyperlink" xfId="1786"/>
    <cellStyle name="Followed Hyperlink" xfId="1787"/>
    <cellStyle name="Hyperlink" xfId="1788"/>
    <cellStyle name="Followed Hyperlink" xfId="1789"/>
    <cellStyle name="Hyperlink" xfId="1790"/>
    <cellStyle name="Followed Hyperlink" xfId="1791"/>
    <cellStyle name="Hyperlink" xfId="1792"/>
    <cellStyle name="Followed Hyperlink" xfId="1793"/>
    <cellStyle name="Hyperlink" xfId="1794"/>
    <cellStyle name="Followed Hyperlink" xfId="1795"/>
    <cellStyle name="Hyperlink" xfId="1796"/>
    <cellStyle name="Followed Hyperlink" xfId="1797"/>
    <cellStyle name="Hyperlink" xfId="1798"/>
    <cellStyle name="Followed Hyperlink" xfId="1799"/>
    <cellStyle name="Hyperlink" xfId="1800"/>
    <cellStyle name="Followed Hyperlink" xfId="1801"/>
    <cellStyle name="Hyperlink" xfId="1802"/>
    <cellStyle name="Followed Hyperlink" xfId="1803"/>
    <cellStyle name="Hyperlink" xfId="1804"/>
    <cellStyle name="Followed Hyperlink" xfId="1805"/>
    <cellStyle name="Hyperlink" xfId="1806"/>
    <cellStyle name="Followed Hyperlink" xfId="1807"/>
    <cellStyle name="Hyperlink" xfId="1808"/>
    <cellStyle name="Followed Hyperlink" xfId="1809"/>
    <cellStyle name="Hyperlink" xfId="1810"/>
    <cellStyle name="Followed Hyperlink" xfId="1811"/>
    <cellStyle name="Hyperlink" xfId="1812"/>
    <cellStyle name="Followed Hyperlink" xfId="1813"/>
    <cellStyle name="Hyperlink" xfId="1814"/>
    <cellStyle name="Followed Hyperlink" xfId="1815"/>
    <cellStyle name="Hyperlink" xfId="1816"/>
    <cellStyle name="Followed Hyperlink" xfId="1817"/>
    <cellStyle name="Hyperlink" xfId="1818"/>
    <cellStyle name="Followed Hyperlink" xfId="1819"/>
    <cellStyle name="Hyperlink" xfId="1820"/>
    <cellStyle name="Followed Hyperlink" xfId="1821"/>
    <cellStyle name="Hyperlink" xfId="1822"/>
    <cellStyle name="Followed Hyperlink" xfId="1823"/>
    <cellStyle name="Hyperlink" xfId="1824"/>
    <cellStyle name="Followed Hyperlink" xfId="1825"/>
    <cellStyle name="Hyperlink" xfId="1826"/>
    <cellStyle name="Followed Hyperlink" xfId="1827"/>
    <cellStyle name="Hyperlink" xfId="1828"/>
    <cellStyle name="Followed Hyperlink" xfId="1829"/>
    <cellStyle name="Hyperlink" xfId="1830"/>
    <cellStyle name="Followed Hyperlink" xfId="1831"/>
    <cellStyle name="Hyperlink" xfId="1832"/>
    <cellStyle name="Followed Hyperlink" xfId="1833"/>
    <cellStyle name="Hyperlink" xfId="1834"/>
    <cellStyle name="Followed Hyperlink" xfId="1835"/>
    <cellStyle name="Hyperlink" xfId="1836"/>
    <cellStyle name="Followed Hyperlink" xfId="1837"/>
    <cellStyle name="Hyperlink" xfId="1838"/>
    <cellStyle name="Followed Hyperlink" xfId="1839"/>
    <cellStyle name="Hyperlink" xfId="1840"/>
    <cellStyle name="Followed Hyperlink" xfId="1841"/>
    <cellStyle name="Hyperlink" xfId="1842"/>
    <cellStyle name="Followed Hyperlink" xfId="1843"/>
    <cellStyle name="Hyperlink" xfId="1844"/>
    <cellStyle name="Followed Hyperlink" xfId="1845"/>
    <cellStyle name="Hyperlink" xfId="1846"/>
    <cellStyle name="Followed Hyperlink" xfId="1847"/>
    <cellStyle name="Hyperlink" xfId="1848"/>
    <cellStyle name="Followed Hyperlink" xfId="1849"/>
    <cellStyle name="Hyperlink" xfId="1850"/>
    <cellStyle name="Followed Hyperlink" xfId="1851"/>
    <cellStyle name="Hyperlink" xfId="1852"/>
    <cellStyle name="Followed Hyperlink" xfId="1853"/>
    <cellStyle name="Hyperlink" xfId="1854"/>
    <cellStyle name="Followed Hyperlink" xfId="1855"/>
    <cellStyle name="Hyperlink" xfId="1856"/>
    <cellStyle name="Followed Hyperlink" xfId="1857"/>
    <cellStyle name="Hyperlink" xfId="1858"/>
    <cellStyle name="Followed Hyperlink" xfId="1859"/>
    <cellStyle name="Hyperlink" xfId="1860"/>
    <cellStyle name="Followed Hyperlink" xfId="1861"/>
    <cellStyle name="Hyperlink" xfId="1862"/>
    <cellStyle name="Followed Hyperlink" xfId="1863"/>
    <cellStyle name="Hyperlink" xfId="1864"/>
    <cellStyle name="Followed Hyperlink" xfId="1865"/>
    <cellStyle name="Hyperlink" xfId="1866"/>
    <cellStyle name="Followed Hyperlink" xfId="1867"/>
    <cellStyle name="Hyperlink" xfId="1868"/>
    <cellStyle name="Followed Hyperlink" xfId="1869"/>
    <cellStyle name="Hyperlink" xfId="1870"/>
    <cellStyle name="Followed Hyperlink" xfId="1871"/>
    <cellStyle name="Hyperlink" xfId="1872"/>
    <cellStyle name="Followed Hyperlink" xfId="1873"/>
    <cellStyle name="Hyperlink" xfId="1874"/>
    <cellStyle name="Followed Hyperlink" xfId="1875"/>
    <cellStyle name="Hyperlink" xfId="1876"/>
    <cellStyle name="Followed Hyperlink" xfId="1877"/>
    <cellStyle name="Hyperlink" xfId="1878"/>
    <cellStyle name="Followed Hyperlink" xfId="1879"/>
    <cellStyle name="Hyperlink" xfId="1880"/>
    <cellStyle name="Followed Hyperlink" xfId="1881"/>
    <cellStyle name="Hyperlink" xfId="1882"/>
    <cellStyle name="Followed Hyperlink" xfId="1883"/>
    <cellStyle name="Hyperlink" xfId="1884"/>
    <cellStyle name="Followed Hyperlink" xfId="1885"/>
    <cellStyle name="Hyperlink" xfId="1886"/>
    <cellStyle name="Followed Hyperlink" xfId="1887"/>
    <cellStyle name="Hyperlink" xfId="1888"/>
    <cellStyle name="Followed Hyperlink" xfId="1889"/>
    <cellStyle name="Hyperlink" xfId="1890"/>
    <cellStyle name="Followed Hyperlink" xfId="1891"/>
    <cellStyle name="Hyperlink" xfId="1892"/>
    <cellStyle name="Followed Hyperlink" xfId="1893"/>
    <cellStyle name="Hyperlink" xfId="1894"/>
    <cellStyle name="Followed Hyperlink" xfId="1895"/>
    <cellStyle name="Hyperlink" xfId="1896"/>
    <cellStyle name="Followed Hyperlink" xfId="1897"/>
    <cellStyle name="Hyperlink" xfId="1898"/>
    <cellStyle name="Followed Hyperlink" xfId="1899"/>
    <cellStyle name="Hyperlink" xfId="1900"/>
    <cellStyle name="Followed Hyperlink" xfId="1901"/>
    <cellStyle name="Hyperlink" xfId="1902"/>
    <cellStyle name="Followed Hyperlink" xfId="1903"/>
    <cellStyle name="Hyperlink" xfId="1904"/>
    <cellStyle name="Followed Hyperlink" xfId="1905"/>
    <cellStyle name="Hyperlink" xfId="1906"/>
    <cellStyle name="Followed Hyperlink" xfId="1907"/>
    <cellStyle name="Hyperlink" xfId="1908"/>
    <cellStyle name="Followed Hyperlink" xfId="1909"/>
    <cellStyle name="Hyperlink" xfId="1910"/>
    <cellStyle name="Followed Hyperlink" xfId="1911"/>
    <cellStyle name="Hyperlink" xfId="1912"/>
    <cellStyle name="Followed Hyperlink" xfId="1913"/>
    <cellStyle name="Hyperlink" xfId="1914"/>
    <cellStyle name="Followed Hyperlink" xfId="1915"/>
    <cellStyle name="Hyperlink" xfId="1916"/>
    <cellStyle name="Followed Hyperlink" xfId="1917"/>
    <cellStyle name="Hyperlink" xfId="1918"/>
    <cellStyle name="Followed Hyperlink" xfId="1919"/>
    <cellStyle name="Hyperlink" xfId="1920"/>
    <cellStyle name="Followed Hyperlink" xfId="1921"/>
    <cellStyle name="Hyperlink" xfId="1922"/>
    <cellStyle name="Followed Hyperlink" xfId="1923"/>
    <cellStyle name="Hyperlink" xfId="1924"/>
    <cellStyle name="Followed Hyperlink" xfId="1925"/>
    <cellStyle name="Hyperlink" xfId="1926"/>
    <cellStyle name="Followed Hyperlink" xfId="1927"/>
    <cellStyle name="Hyperlink" xfId="1928"/>
    <cellStyle name="Followed Hyperlink" xfId="1929"/>
    <cellStyle name="Hyperlink" xfId="1930"/>
    <cellStyle name="Followed Hyperlink" xfId="1931"/>
    <cellStyle name="Hyperlink" xfId="1932"/>
    <cellStyle name="Followed Hyperlink" xfId="1933"/>
    <cellStyle name="Hyperlink" xfId="1934"/>
    <cellStyle name="Followed Hyperlink" xfId="1935"/>
    <cellStyle name="Hyperlink" xfId="1936"/>
    <cellStyle name="Followed Hyperlink" xfId="1937"/>
    <cellStyle name="Hyperlink" xfId="1938"/>
    <cellStyle name="Followed Hyperlink" xfId="1939"/>
    <cellStyle name="Hyperlink" xfId="1940"/>
    <cellStyle name="Followed Hyperlink" xfId="1941"/>
    <cellStyle name="Hyperlink" xfId="1942"/>
    <cellStyle name="Followed Hyperlink" xfId="1943"/>
    <cellStyle name="Hyperlink" xfId="1944"/>
    <cellStyle name="Followed Hyperlink" xfId="1945"/>
    <cellStyle name="Hyperlink" xfId="1946"/>
    <cellStyle name="Followed Hyperlink" xfId="1947"/>
    <cellStyle name="Hyperlink" xfId="1948"/>
    <cellStyle name="Followed Hyperlink" xfId="1949"/>
    <cellStyle name="Hyperlink" xfId="1950"/>
    <cellStyle name="Followed Hyperlink" xfId="1951"/>
    <cellStyle name="Hyperlink" xfId="1952"/>
    <cellStyle name="Followed Hyperlink" xfId="1953"/>
    <cellStyle name="Hyperlink" xfId="1954"/>
    <cellStyle name="Followed Hyperlink" xfId="1955"/>
    <cellStyle name="Hyperlink" xfId="1956"/>
    <cellStyle name="Followed Hyperlink" xfId="1957"/>
    <cellStyle name="Hyperlink" xfId="1958"/>
    <cellStyle name="Followed Hyperlink" xfId="1959"/>
    <cellStyle name="Hyperlink" xfId="1960"/>
    <cellStyle name="Followed Hyperlink" xfId="1961"/>
    <cellStyle name="Hyperlink" xfId="1962"/>
    <cellStyle name="Followed Hyperlink" xfId="1963"/>
    <cellStyle name="Hyperlink" xfId="1964"/>
    <cellStyle name="Followed Hyperlink" xfId="1965"/>
    <cellStyle name="Hyperlink" xfId="1966"/>
    <cellStyle name="Followed Hyperlink" xfId="1967"/>
    <cellStyle name="Hyperlink" xfId="1968"/>
    <cellStyle name="Followed Hyperlink" xfId="1969"/>
    <cellStyle name="Hyperlink" xfId="1970"/>
    <cellStyle name="Followed Hyperlink" xfId="1971"/>
    <cellStyle name="Hyperlink" xfId="1972"/>
    <cellStyle name="Followed Hyperlink" xfId="1973"/>
    <cellStyle name="Hyperlink" xfId="1974"/>
    <cellStyle name="Followed Hyperlink" xfId="1975"/>
    <cellStyle name="Hyperlink" xfId="1976"/>
    <cellStyle name="Followed Hyperlink" xfId="1977"/>
    <cellStyle name="Hyperlink" xfId="1978"/>
    <cellStyle name="Followed Hyperlink" xfId="1979"/>
    <cellStyle name="Hyperlink" xfId="1980"/>
    <cellStyle name="Followed Hyperlink" xfId="1981"/>
    <cellStyle name="Hyperlink" xfId="1982"/>
    <cellStyle name="Followed Hyperlink" xfId="1983"/>
    <cellStyle name="Hyperlink" xfId="1984"/>
    <cellStyle name="Followed Hyperlink" xfId="1985"/>
    <cellStyle name="Hyperlink" xfId="1986"/>
    <cellStyle name="Followed Hyperlink" xfId="1987"/>
    <cellStyle name="Hyperlink" xfId="1988"/>
    <cellStyle name="Followed Hyperlink" xfId="1989"/>
    <cellStyle name="Hyperlink" xfId="1990"/>
    <cellStyle name="Followed Hyperlink" xfId="1991"/>
    <cellStyle name="Hyperlink" xfId="1992"/>
    <cellStyle name="Followed Hyperlink" xfId="1993"/>
    <cellStyle name="Hyperlink" xfId="1994"/>
    <cellStyle name="Followed Hyperlink" xfId="1995"/>
    <cellStyle name="Hyperlink" xfId="1996"/>
    <cellStyle name="Followed Hyperlink" xfId="1997"/>
    <cellStyle name="Hyperlink" xfId="1998"/>
    <cellStyle name="Followed Hyperlink" xfId="1999"/>
    <cellStyle name="Hyperlink" xfId="2000"/>
    <cellStyle name="Followed Hyperlink" xfId="2001"/>
    <cellStyle name="Hyperlink" xfId="2002"/>
    <cellStyle name="Followed Hyperlink" xfId="2003"/>
    <cellStyle name="Hyperlink" xfId="2004"/>
    <cellStyle name="Followed Hyperlink" xfId="2005"/>
    <cellStyle name="Hyperlink" xfId="2006"/>
    <cellStyle name="Followed Hyperlink" xfId="2007"/>
    <cellStyle name="Hyperlink" xfId="2008"/>
    <cellStyle name="Followed Hyperlink" xfId="2009"/>
    <cellStyle name="Hyperlink" xfId="2010"/>
    <cellStyle name="Followed Hyperlink" xfId="2011"/>
    <cellStyle name="Hyperlink" xfId="2012"/>
    <cellStyle name="Followed Hyperlink" xfId="2013"/>
    <cellStyle name="Hyperlink" xfId="2014"/>
    <cellStyle name="Followed Hyperlink" xfId="2015"/>
    <cellStyle name="Hyperlink" xfId="2016"/>
    <cellStyle name="Followed Hyperlink" xfId="2017"/>
    <cellStyle name="Hyperlink" xfId="2018"/>
    <cellStyle name="Followed Hyperlink" xfId="2019"/>
    <cellStyle name="Hyperlink" xfId="2020"/>
    <cellStyle name="Followed Hyperlink" xfId="2021"/>
    <cellStyle name="Hyperlink" xfId="2022"/>
    <cellStyle name="Followed Hyperlink" xfId="2023"/>
    <cellStyle name="Hyperlink" xfId="2024"/>
    <cellStyle name="Followed Hyperlink" xfId="2025"/>
    <cellStyle name="Hyperlink" xfId="2026"/>
    <cellStyle name="Followed Hyperlink" xfId="2027"/>
    <cellStyle name="Hyperlink" xfId="2028"/>
    <cellStyle name="Followed Hyperlink" xfId="2029"/>
    <cellStyle name="Hyperlink" xfId="2030"/>
    <cellStyle name="Followed Hyperlink" xfId="2031"/>
    <cellStyle name="Hyperlink" xfId="2032"/>
    <cellStyle name="Followed Hyperlink" xfId="2033"/>
    <cellStyle name="Hyperlink" xfId="2034"/>
    <cellStyle name="Followed Hyperlink" xfId="2035"/>
    <cellStyle name="Hyperlink" xfId="2036"/>
    <cellStyle name="Followed Hyperlink" xfId="2037"/>
    <cellStyle name="Hyperlink" xfId="2038"/>
    <cellStyle name="Followed Hyperlink" xfId="2039"/>
    <cellStyle name="Hyperlink" xfId="2040"/>
    <cellStyle name="Followed Hyperlink" xfId="2041"/>
    <cellStyle name="Hyperlink" xfId="2042"/>
    <cellStyle name="Followed Hyperlink" xfId="2043"/>
    <cellStyle name="Hyperlink" xfId="2044"/>
    <cellStyle name="Followed Hyperlink" xfId="2045"/>
    <cellStyle name="Hyperlink" xfId="2046"/>
    <cellStyle name="Followed Hyperlink" xfId="2047"/>
    <cellStyle name="Hyperlink" xfId="2048"/>
    <cellStyle name="Followed Hyperlink" xfId="2049"/>
    <cellStyle name="Hyperlink" xfId="2050"/>
    <cellStyle name="Followed Hyperlink" xfId="2051"/>
    <cellStyle name="Hyperlink" xfId="2052"/>
    <cellStyle name="Followed Hyperlink" xfId="2053"/>
    <cellStyle name="Hyperlink" xfId="2054"/>
    <cellStyle name="Followed Hyperlink" xfId="2055"/>
    <cellStyle name="Hyperlink" xfId="2056"/>
    <cellStyle name="Followed Hyperlink" xfId="2057"/>
    <cellStyle name="Hyperlink" xfId="2058"/>
    <cellStyle name="Followed Hyperlink" xfId="2059"/>
    <cellStyle name="Hyperlink" xfId="2060"/>
    <cellStyle name="Followed Hyperlink" xfId="2061"/>
    <cellStyle name="Hyperlink" xfId="2062"/>
    <cellStyle name="Followed Hyperlink" xfId="2063"/>
    <cellStyle name="Hyperlink" xfId="2064"/>
    <cellStyle name="Followed Hyperlink" xfId="2065"/>
    <cellStyle name="Hyperlink" xfId="2066"/>
    <cellStyle name="Followed Hyperlink" xfId="2067"/>
    <cellStyle name="Hyperlink" xfId="2068"/>
    <cellStyle name="Followed Hyperlink" xfId="2069"/>
    <cellStyle name="Hyperlink" xfId="2070"/>
    <cellStyle name="Followed Hyperlink" xfId="2071"/>
    <cellStyle name="Hyperlink" xfId="2072"/>
    <cellStyle name="Followed Hyperlink" xfId="2073"/>
    <cellStyle name="Hyperlink" xfId="2074"/>
    <cellStyle name="Followed Hyperlink" xfId="2075"/>
    <cellStyle name="Hyperlink" xfId="2076"/>
    <cellStyle name="Followed Hyperlink" xfId="2077"/>
    <cellStyle name="Hyperlink" xfId="2078"/>
    <cellStyle name="Followed Hyperlink" xfId="2079"/>
    <cellStyle name="Hyperlink" xfId="2080"/>
    <cellStyle name="Followed Hyperlink" xfId="2081"/>
    <cellStyle name="Hyperlink" xfId="2082"/>
    <cellStyle name="Followed Hyperlink" xfId="2083"/>
    <cellStyle name="Hyperlink" xfId="2084"/>
    <cellStyle name="Followed Hyperlink" xfId="2085"/>
    <cellStyle name="Hyperlink" xfId="2086"/>
    <cellStyle name="Followed Hyperlink" xfId="2087"/>
    <cellStyle name="Hyperlink" xfId="2088"/>
    <cellStyle name="Followed Hyperlink" xfId="2089"/>
    <cellStyle name="Hyperlink" xfId="2090"/>
    <cellStyle name="Followed Hyperlink" xfId="2091"/>
    <cellStyle name="Hyperlink" xfId="2092"/>
    <cellStyle name="Followed Hyperlink" xfId="2093"/>
    <cellStyle name="Hyperlink" xfId="2094"/>
    <cellStyle name="Followed Hyperlink" xfId="2095"/>
    <cellStyle name="Hyperlink" xfId="2096"/>
    <cellStyle name="Followed Hyperlink" xfId="2097"/>
    <cellStyle name="Hyperlink" xfId="2098"/>
    <cellStyle name="Followed Hyperlink" xfId="2099"/>
    <cellStyle name="Hyperlink" xfId="2100"/>
    <cellStyle name="Followed Hyperlink" xfId="2101"/>
    <cellStyle name="Hyperlink" xfId="2102"/>
    <cellStyle name="Followed Hyperlink" xfId="2103"/>
    <cellStyle name="Hyperlink" xfId="2104"/>
    <cellStyle name="Followed Hyperlink" xfId="2105"/>
    <cellStyle name="Hyperlink" xfId="2106"/>
    <cellStyle name="Followed Hyperlink" xfId="2107"/>
    <cellStyle name="Hyperlink" xfId="2108"/>
    <cellStyle name="Followed Hyperlink" xfId="2109"/>
    <cellStyle name="Hyperlink" xfId="2110"/>
    <cellStyle name="Followed Hyperlink" xfId="2111"/>
    <cellStyle name="Hyperlink" xfId="2112"/>
    <cellStyle name="Followed Hyperlink" xfId="2113"/>
    <cellStyle name="Hyperlink" xfId="2114"/>
    <cellStyle name="Followed Hyperlink" xfId="2115"/>
    <cellStyle name="Hyperlink" xfId="2116"/>
    <cellStyle name="Followed Hyperlink" xfId="2117"/>
    <cellStyle name="Hyperlink" xfId="2118"/>
    <cellStyle name="Followed Hyperlink" xfId="2119"/>
    <cellStyle name="Hyperlink" xfId="2120"/>
    <cellStyle name="Followed Hyperlink" xfId="2121"/>
    <cellStyle name="Hyperlink" xfId="2122"/>
    <cellStyle name="Followed Hyperlink" xfId="2123"/>
    <cellStyle name="Hyperlink" xfId="2124"/>
    <cellStyle name="Followed Hyperlink" xfId="2125"/>
    <cellStyle name="Hyperlink" xfId="2126"/>
    <cellStyle name="Followed Hyperlink" xfId="2127"/>
    <cellStyle name="Hyperlink" xfId="2128"/>
    <cellStyle name="Followed Hyperlink" xfId="2129"/>
    <cellStyle name="Hyperlink" xfId="2130"/>
    <cellStyle name="Followed Hyperlink" xfId="2131"/>
    <cellStyle name="Hyperlink" xfId="2132"/>
    <cellStyle name="Followed Hyperlink" xfId="2133"/>
    <cellStyle name="Hyperlink" xfId="2134"/>
    <cellStyle name="Followed Hyperlink" xfId="2135"/>
    <cellStyle name="Hyperlink" xfId="2136"/>
    <cellStyle name="Followed Hyperlink" xfId="2137"/>
    <cellStyle name="Hyperlink" xfId="2138"/>
    <cellStyle name="Followed Hyperlink" xfId="2139"/>
    <cellStyle name="Hyperlink" xfId="2140"/>
    <cellStyle name="Followed Hyperlink" xfId="2141"/>
    <cellStyle name="Hyperlink" xfId="2142"/>
    <cellStyle name="Followed Hyperlink" xfId="2143"/>
    <cellStyle name="Hyperlink" xfId="2144"/>
    <cellStyle name="Followed Hyperlink" xfId="2145"/>
    <cellStyle name="Hyperlink" xfId="2146"/>
    <cellStyle name="Followed Hyperlink" xfId="2147"/>
    <cellStyle name="Hyperlink" xfId="2148"/>
    <cellStyle name="Followed Hyperlink" xfId="2149"/>
    <cellStyle name="Hyperlink" xfId="2150"/>
    <cellStyle name="Followed Hyperlink" xfId="2151"/>
    <cellStyle name="Hyperlink" xfId="2152"/>
    <cellStyle name="Followed Hyperlink" xfId="2153"/>
    <cellStyle name="Hyperlink" xfId="2154"/>
    <cellStyle name="Followed Hyperlink" xfId="2155"/>
    <cellStyle name="Hyperlink" xfId="2156"/>
    <cellStyle name="Followed Hyperlink" xfId="2157"/>
    <cellStyle name="Hyperlink" xfId="2158"/>
    <cellStyle name="Followed Hyperlink" xfId="2159"/>
    <cellStyle name="Hyperlink" xfId="2160"/>
    <cellStyle name="Followed Hyperlink" xfId="2161"/>
    <cellStyle name="Hyperlink" xfId="2162"/>
    <cellStyle name="Followed Hyperlink" xfId="2163"/>
    <cellStyle name="Hyperlink" xfId="2164"/>
    <cellStyle name="Followed Hyperlink" xfId="2165"/>
    <cellStyle name="Hyperlink" xfId="2166"/>
    <cellStyle name="Followed Hyperlink" xfId="2167"/>
    <cellStyle name="Hyperlink" xfId="2168"/>
    <cellStyle name="Followed Hyperlink" xfId="2169"/>
    <cellStyle name="Hyperlink" xfId="2170"/>
    <cellStyle name="Followed Hyperlink" xfId="2171"/>
    <cellStyle name="Hyperlink" xfId="2172"/>
    <cellStyle name="Followed Hyperlink" xfId="2173"/>
    <cellStyle name="Hyperlink" xfId="2174"/>
    <cellStyle name="Followed Hyperlink" xfId="2175"/>
    <cellStyle name="Hyperlink" xfId="2176"/>
    <cellStyle name="Followed Hyperlink" xfId="2177"/>
    <cellStyle name="Hyperlink" xfId="2178"/>
    <cellStyle name="Followed Hyperlink" xfId="2179"/>
    <cellStyle name="Hyperlink" xfId="2180"/>
    <cellStyle name="Followed Hyperlink" xfId="2181"/>
    <cellStyle name="Hyperlink" xfId="2182"/>
    <cellStyle name="Followed Hyperlink" xfId="2183"/>
    <cellStyle name="Hyperlink" xfId="2184"/>
    <cellStyle name="Followed Hyperlink" xfId="2185"/>
    <cellStyle name="Hyperlink" xfId="2186"/>
    <cellStyle name="Followed Hyperlink" xfId="2187"/>
    <cellStyle name="Percent 2" xfId="2188"/>
    <cellStyle name="Hyperlink" xfId="2189"/>
    <cellStyle name="Normale 2" xfId="2190"/>
    <cellStyle name="Titolo 5" xfId="2191"/>
    <cellStyle name="Titolo 2 2" xfId="2192"/>
    <cellStyle name="Titolo 1 2" xfId="2193"/>
    <cellStyle name="Titolo 3 2" xfId="2194"/>
    <cellStyle name="Followed Hyperlink" xfId="2195"/>
    <cellStyle name="Followed Hyperlink" xfId="2196"/>
    <cellStyle name="Followed Hyperlink" xfId="2197"/>
    <cellStyle name="Followed Hyperlink" xfId="2198"/>
    <cellStyle name="Followed Hyperlink" xfId="2199"/>
    <cellStyle name="Followed Hyperlink" xfId="2200"/>
    <cellStyle name="Followed Hyperlink" xfId="2201"/>
    <cellStyle name="Followed Hyperlink" xfId="2202"/>
    <cellStyle name="Followed Hyperlink" xfId="2203"/>
    <cellStyle name="Followed Hyperlink" xfId="2204"/>
    <cellStyle name="Followed Hyperlink" xfId="2205"/>
    <cellStyle name="Followed Hyperlink" xfId="2206"/>
    <cellStyle name="Followed Hyperlink" xfId="2207"/>
    <cellStyle name="Followed Hyperlink" xfId="2208"/>
    <cellStyle name="Followed Hyperlink" xfId="2209"/>
    <cellStyle name="Followed Hyperlink" xfId="2210"/>
    <cellStyle name="Followed Hyperlink" xfId="2211"/>
    <cellStyle name="Followed Hyperlink" xfId="2212"/>
    <cellStyle name="Followed Hyperlink" xfId="2213"/>
    <cellStyle name="Followed Hyperlink" xfId="2214"/>
    <cellStyle name="Followed Hyperlink" xfId="2215"/>
    <cellStyle name="Followed Hyperlink" xfId="2216"/>
    <cellStyle name="Followed Hyperlink" xfId="2217"/>
    <cellStyle name="Followed Hyperlink" xfId="2218"/>
    <cellStyle name="Valuta 2" xfId="2219"/>
    <cellStyle name="Percentuale 2" xfId="2220"/>
    <cellStyle name="Currency 2" xfId="2221"/>
    <cellStyle name="Percent 3" xfId="2222"/>
    <cellStyle name="Comma 2" xfId="2223"/>
    <cellStyle name="Percent 2 2" xfId="2224"/>
    <cellStyle name="Normal 2" xfId="2225"/>
  </cellStyles>
  <dxfs count="36">
    <dxf>
      <fill>
        <patternFill>
          <bgColor theme="0"/>
        </patternFill>
      </fill>
    </dxf>
    <dxf>
      <fill>
        <patternFill>
          <bgColor theme="7" tint="0.7999799847602844"/>
        </patternFill>
      </fill>
    </dxf>
    <dxf>
      <font>
        <b val="0"/>
        <i val="0"/>
        <color theme="0"/>
      </font>
      <fill>
        <patternFill>
          <bgColor theme="4"/>
        </patternFill>
      </fill>
      <border>
        <left style="medium">
          <color theme="4"/>
        </left>
      </border>
    </dxf>
    <dxf>
      <border>
        <left style="mediumDashed">
          <color theme="7"/>
        </left>
      </border>
    </dxf>
    <dxf>
      <fill>
        <patternFill>
          <bgColor theme="0"/>
        </patternFill>
      </fill>
    </dxf>
    <dxf>
      <fill>
        <patternFill>
          <bgColor theme="7" tint="0.7999799847602844"/>
        </patternFill>
      </fill>
    </dxf>
    <dxf>
      <font>
        <b val="0"/>
        <i val="0"/>
        <color theme="0"/>
      </font>
      <fill>
        <patternFill>
          <bgColor theme="8"/>
        </patternFill>
      </fill>
      <border>
        <left style="medium">
          <color theme="8"/>
        </left>
      </border>
    </dxf>
    <dxf>
      <border>
        <left style="mediumDashed">
          <color theme="7"/>
        </left>
      </border>
    </dxf>
    <dxf>
      <fill>
        <patternFill>
          <bgColor theme="0"/>
        </patternFill>
      </fill>
    </dxf>
    <dxf>
      <fill>
        <patternFill>
          <bgColor theme="7" tint="0.7999799847602844"/>
        </patternFill>
      </fill>
    </dxf>
    <dxf>
      <font>
        <b val="0"/>
        <i val="0"/>
        <color theme="0"/>
      </font>
      <fill>
        <patternFill>
          <bgColor theme="8"/>
        </patternFill>
      </fill>
      <border>
        <left style="medium">
          <color theme="8"/>
        </left>
      </border>
    </dxf>
    <dxf>
      <border>
        <left style="mediumDashed">
          <color theme="7"/>
        </left>
      </border>
    </dxf>
    <dxf>
      <fill>
        <patternFill>
          <bgColor theme="0"/>
        </patternFill>
      </fill>
    </dxf>
    <dxf>
      <fill>
        <patternFill>
          <bgColor theme="7" tint="0.7999799847602844"/>
        </patternFill>
      </fill>
    </dxf>
    <dxf>
      <font>
        <b val="0"/>
        <i val="0"/>
        <color theme="0"/>
      </font>
      <fill>
        <patternFill>
          <bgColor theme="9"/>
        </patternFill>
      </fill>
      <border>
        <left style="medium">
          <color theme="9"/>
        </left>
      </border>
    </dxf>
    <dxf>
      <border>
        <left style="mediumDashed">
          <color theme="7"/>
        </left>
      </border>
    </dxf>
    <dxf>
      <fill>
        <patternFill>
          <bgColor theme="0"/>
        </patternFill>
      </fill>
    </dxf>
    <dxf>
      <fill>
        <patternFill>
          <bgColor theme="7" tint="0.7999799847602844"/>
        </patternFill>
      </fill>
    </dxf>
    <dxf>
      <font>
        <b val="0"/>
        <i val="0"/>
        <color theme="0"/>
      </font>
      <fill>
        <patternFill>
          <bgColor theme="9"/>
        </patternFill>
      </fill>
      <border>
        <left style="medium">
          <color theme="9"/>
        </left>
      </border>
    </dxf>
    <dxf>
      <border>
        <left style="mediumDashed">
          <color theme="7"/>
        </left>
      </border>
    </dxf>
    <dxf>
      <fill>
        <patternFill>
          <bgColor theme="0"/>
        </patternFill>
      </fill>
    </dxf>
    <dxf>
      <fill>
        <patternFill>
          <bgColor theme="7" tint="0.7999799847602844"/>
        </patternFill>
      </fill>
    </dxf>
    <dxf>
      <font>
        <b val="0"/>
        <i val="0"/>
        <color theme="0"/>
      </font>
      <fill>
        <patternFill>
          <bgColor theme="6"/>
        </patternFill>
      </fill>
      <border>
        <left style="medium">
          <color theme="6"/>
        </left>
      </border>
    </dxf>
    <dxf>
      <border>
        <left style="mediumDashed">
          <color theme="7"/>
        </left>
      </border>
    </dxf>
    <dxf>
      <fill>
        <patternFill>
          <bgColor theme="0"/>
        </patternFill>
      </fill>
    </dxf>
    <dxf>
      <fill>
        <patternFill>
          <bgColor theme="7" tint="0.7999799847602844"/>
        </patternFill>
      </fill>
    </dxf>
    <dxf>
      <font>
        <b val="0"/>
        <i val="0"/>
        <color theme="0"/>
      </font>
      <fill>
        <patternFill>
          <bgColor theme="6"/>
        </patternFill>
      </fill>
      <border>
        <left style="medium">
          <color theme="6"/>
        </left>
      </border>
    </dxf>
    <dxf>
      <border>
        <left style="mediumDashed">
          <color theme="7"/>
        </left>
      </border>
    </dxf>
    <dxf>
      <fill>
        <patternFill>
          <bgColor theme="0"/>
        </patternFill>
      </fill>
    </dxf>
    <dxf>
      <fill>
        <patternFill>
          <bgColor theme="7" tint="0.7999799847602844"/>
        </patternFill>
      </fill>
    </dxf>
    <dxf>
      <font>
        <b val="0"/>
        <i val="0"/>
        <color theme="0"/>
      </font>
      <fill>
        <patternFill>
          <bgColor theme="7"/>
        </patternFill>
      </fill>
      <border>
        <left style="medium">
          <color theme="7"/>
        </left>
      </border>
    </dxf>
    <dxf>
      <border>
        <left style="mediumDashed">
          <color theme="7"/>
        </left>
      </border>
    </dxf>
    <dxf>
      <fill>
        <patternFill>
          <bgColor theme="0"/>
        </patternFill>
      </fill>
    </dxf>
    <dxf>
      <fill>
        <patternFill>
          <bgColor theme="7" tint="0.7999799847602844"/>
        </patternFill>
      </fill>
    </dxf>
    <dxf>
      <font>
        <b val="0"/>
        <i val="0"/>
        <color theme="0"/>
      </font>
      <fill>
        <patternFill>
          <bgColor theme="7"/>
        </patternFill>
      </fill>
      <border>
        <left style="medium">
          <color theme="7"/>
        </left>
      </border>
    </dxf>
    <dxf>
      <border>
        <left style="mediumDashed">
          <color theme="7"/>
        </left>
      </border>
    </dxf>
  </dxfs>
  <tableStyles count="9" defaultTableStyle="TableStyleMedium9" defaultPivotStyle="PivotStyleMedium4">
    <tableStyle name="Cash Table" pivot="0" count="4">
      <tableStyleElement type="wholeTable" dxfId="35"/>
      <tableStyleElement type="headerRow" dxfId="34"/>
      <tableStyleElement type="firstColumn" dxfId="33"/>
      <tableStyleElement type="secondRowStripe" dxfId="32"/>
    </tableStyle>
    <tableStyle name="Cash Table 2" pivot="0" count="4">
      <tableStyleElement type="wholeTable" dxfId="31"/>
      <tableStyleElement type="headerRow" dxfId="30"/>
      <tableStyleElement type="firstColumn" dxfId="29"/>
      <tableStyleElement type="secondRowStripe" dxfId="28"/>
    </tableStyle>
    <tableStyle name="Investment Table" pivot="0" count="4">
      <tableStyleElement type="wholeTable" dxfId="27"/>
      <tableStyleElement type="headerRow" dxfId="26"/>
      <tableStyleElement type="firstColumn" dxfId="25"/>
      <tableStyleElement type="secondRowStripe" dxfId="24"/>
    </tableStyle>
    <tableStyle name="Investment Table 2" pivot="0" count="4">
      <tableStyleElement type="wholeTable" dxfId="23"/>
      <tableStyleElement type="headerRow" dxfId="22"/>
      <tableStyleElement type="firstColumn" dxfId="21"/>
      <tableStyleElement type="secondRowStripe" dxfId="20"/>
    </tableStyle>
    <tableStyle name="Personal Table" pivot="0" count="4">
      <tableStyleElement type="wholeTable" dxfId="19"/>
      <tableStyleElement type="headerRow" dxfId="18"/>
      <tableStyleElement type="firstColumn" dxfId="17"/>
      <tableStyleElement type="secondRowStripe" dxfId="16"/>
    </tableStyle>
    <tableStyle name="Personal Table 2" pivot="0" count="4">
      <tableStyleElement type="wholeTable" dxfId="15"/>
      <tableStyleElement type="headerRow" dxfId="14"/>
      <tableStyleElement type="firstColumn" dxfId="13"/>
      <tableStyleElement type="secondRowStripe" dxfId="12"/>
    </tableStyle>
    <tableStyle name="Retirement Table" pivot="0" count="4">
      <tableStyleElement type="wholeTable" dxfId="11"/>
      <tableStyleElement type="headerRow" dxfId="10"/>
      <tableStyleElement type="firstColumn" dxfId="9"/>
      <tableStyleElement type="secondRowStripe" dxfId="8"/>
    </tableStyle>
    <tableStyle name="Retirement Table 2" pivot="0" count="4">
      <tableStyleElement type="wholeTable" dxfId="7"/>
      <tableStyleElement type="headerRow" dxfId="6"/>
      <tableStyleElement type="firstColumn" dxfId="5"/>
      <tableStyleElement type="secondRowStripe" dxfId="4"/>
    </tableStyle>
    <tableStyle name="Unsecured Table 2" pivot="0" count="4">
      <tableStyleElement type="wholeTable" dxfId="3"/>
      <tableStyleElement type="headerRow" dxfId="2"/>
      <tableStyleElement type="firstColumn"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microsoft.com/office/2017/10/relationships/person" Target="persons/person.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30"/>
      <c:rotY val="0"/>
      <c:depthPercent val="100"/>
      <c:rAngAx val="0"/>
      <c:perspective val="30"/>
    </c:view3D>
    <c:plotArea>
      <c:layout>
        <c:manualLayout>
          <c:layoutTarget val="inner"/>
          <c:xMode val="edge"/>
          <c:yMode val="edge"/>
          <c:x val="0"/>
          <c:y val="0.128"/>
          <c:w val="1"/>
          <c:h val="0.497"/>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1"/>
            <c:spPr>
              <a:gradFill rotWithShape="1">
                <a:gsLst>
                  <a:gs pos="0">
                    <a:schemeClr val="accent2">
                      <a:tint val="100000"/>
                      <a:shade val="100000"/>
                      <a:satMod val="130000"/>
                    </a:schemeClr>
                  </a:gs>
                  <a:gs pos="100000">
                    <a:schemeClr val="accent2">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2"/>
            <c:spPr>
              <a:gradFill rotWithShape="1">
                <a:gsLst>
                  <a:gs pos="0">
                    <a:schemeClr val="accent3">
                      <a:tint val="100000"/>
                      <a:shade val="100000"/>
                      <a:satMod val="130000"/>
                    </a:schemeClr>
                  </a:gs>
                  <a:gs pos="100000">
                    <a:schemeClr val="accent3">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3"/>
            <c:spPr>
              <a:solidFill>
                <a:srgbClr val="FFC000"/>
              </a:soli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4"/>
            <c:spPr>
              <a:gradFill rotWithShape="1">
                <a:gsLst>
                  <a:gs pos="0">
                    <a:schemeClr val="accent5">
                      <a:tint val="100000"/>
                      <a:shade val="100000"/>
                      <a:satMod val="130000"/>
                    </a:schemeClr>
                  </a:gs>
                  <a:gs pos="100000">
                    <a:schemeClr val="accent5">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Lbls>
            <c:numFmt formatCode="General" sourceLinked="1"/>
            <c:showLegendKey val="0"/>
            <c:showVal val="0"/>
            <c:showBubbleSize val="0"/>
            <c:showCatName val="0"/>
            <c:showSerName val="0"/>
            <c:showLeaderLines val="0"/>
            <c:showPercent val="0"/>
          </c:dLbls>
          <c:val>
            <c:numRef>
              <c:f>Dashboard!$E$7:$E$11</c:f>
              <c:numCache/>
            </c:numRef>
          </c:val>
        </c:ser>
      </c:pie3DChart>
      <c:spPr>
        <a:noFill/>
        <a:ln>
          <a:noFill/>
        </a:ln>
      </c:spPr>
    </c:plotArea>
    <c:legend>
      <c:legendPos val="b"/>
      <c:layout>
        <c:manualLayout>
          <c:xMode val="edge"/>
          <c:yMode val="edge"/>
          <c:x val="0.1025"/>
          <c:y val="0.6715"/>
          <c:w val="0.85925"/>
          <c:h val="0.270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Revenue per investment</a:t>
            </a:r>
          </a:p>
        </c:rich>
      </c:tx>
      <c:layout>
        <c:manualLayout>
          <c:xMode val="edge"/>
          <c:yMode val="edge"/>
          <c:x val="0.27925"/>
          <c:y val="0.06875"/>
        </c:manualLayout>
      </c:layout>
      <c:overlay val="0"/>
      <c:spPr>
        <a:noFill/>
        <a:ln>
          <a:noFill/>
        </a:ln>
      </c:spPr>
    </c:title>
    <c:plotArea>
      <c:layout>
        <c:manualLayout>
          <c:layoutTarget val="inner"/>
          <c:xMode val="edge"/>
          <c:yMode val="edge"/>
          <c:x val="0.1195"/>
          <c:y val="0.27875"/>
          <c:w val="0.84225"/>
          <c:h val="0.58625"/>
        </c:manualLayout>
      </c:layout>
      <c:barChart>
        <c:barDir val="col"/>
        <c:grouping val="clustered"/>
        <c:varyColors val="0"/>
        <c:ser>
          <c:idx val="1"/>
          <c:order val="0"/>
          <c:spPr>
            <a:solidFill>
              <a:srgbClr val="196FC2"/>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1525"/>
                </c:manualLayout>
              </c:layout>
              <c:dLblPos val="outEnd"/>
              <c:showLegendKey val="0"/>
              <c:showVal val="1"/>
              <c:showBubbleSize val="0"/>
              <c:showCatName val="0"/>
              <c:showSerName val="0"/>
              <c:showPercent val="0"/>
            </c:dLbl>
            <c:dLbl>
              <c:idx val="2"/>
              <c:layout>
                <c:manualLayout>
                  <c:x val="0"/>
                  <c:y val="-0.0565"/>
                </c:manualLayout>
              </c:layout>
              <c:dLblPos val="outEnd"/>
              <c:showLegendKey val="0"/>
              <c:showVal val="1"/>
              <c:showBubbleSize val="0"/>
              <c:showCatName val="0"/>
              <c:showSerName val="0"/>
              <c:showPercent val="0"/>
            </c:dLbl>
            <c:dLbl>
              <c:idx val="3"/>
              <c:layout>
                <c:manualLayout>
                  <c:x val="-0.003"/>
                  <c:y val="-0.088"/>
                </c:manualLayout>
              </c:layout>
              <c:dLblPos val="outEnd"/>
              <c:showLegendKey val="0"/>
              <c:showVal val="1"/>
              <c:showBubbleSize val="0"/>
              <c:showCatName val="0"/>
              <c:showSerName val="0"/>
              <c:showPercent val="0"/>
            </c:dLbl>
            <c:numFmt formatCode="#,##0.00" sourceLinked="0"/>
            <c:spPr>
              <a:noFill/>
              <a:ln>
                <a:noFill/>
              </a:ln>
            </c:spPr>
            <c:txPr>
              <a:bodyPr vert="horz" rot="0" anchor="ctr"/>
              <a:lstStyle/>
              <a:p>
                <a:pPr algn="ctr">
                  <a:defRPr lang="en-US" cap="none" sz="700" b="1" u="none" baseline="0">
                    <a:solidFill>
                      <a:srgbClr val="000000"/>
                    </a:solidFill>
                    <a:latin typeface="Arial"/>
                    <a:ea typeface="Arial"/>
                    <a:cs typeface="Arial"/>
                  </a:defRPr>
                </a:pPr>
              </a:p>
            </c:txPr>
            <c:dLblPos val="outEnd"/>
            <c:showLegendKey val="0"/>
            <c:showVal val="1"/>
            <c:showBubbleSize val="0"/>
            <c:showCatName val="0"/>
            <c:showSerName val="0"/>
            <c:showPercent val="0"/>
          </c:dLbls>
          <c:trendline>
            <c:spPr>
              <a:ln w="25400" cap="sq" cmpd="sng">
                <a:solidFill>
                  <a:schemeClr val="accent1">
                    <a:lumMod val="60000"/>
                    <a:lumOff val="40000"/>
                  </a:schemeClr>
                </a:solidFill>
                <a:prstDash val="solid"/>
                <a:tailEnd type="stealth"/>
              </a:ln>
            </c:spPr>
            <c:trendlineType val="linear"/>
            <c:forward val="0.5"/>
            <c:dispEq val="0"/>
            <c:dispRSqr val="0"/>
          </c:trendline>
          <c:cat>
            <c:numRef>
              <c:f>'Financial Graphs'!$C$19:$C$23</c:f>
              <c:numCache/>
            </c:numRef>
          </c:cat>
          <c:val>
            <c:numRef>
              <c:f>'Financial Graphs'!$E$19:$E$23</c:f>
              <c:numCache/>
            </c:numRef>
          </c:val>
        </c:ser>
        <c:gapWidth val="60"/>
        <c:axId val="41641921"/>
        <c:axId val="39232970"/>
      </c:barChart>
      <c:catAx>
        <c:axId val="41641921"/>
        <c:scaling>
          <c:orientation val="minMax"/>
        </c:scaling>
        <c:axPos val="b"/>
        <c:delete val="0"/>
        <c:numFmt formatCode="General" sourceLinked="1"/>
        <c:majorTickMark val="out"/>
        <c:minorTickMark val="none"/>
        <c:tickLblPos val="nextTo"/>
        <c:txPr>
          <a:bodyPr/>
          <a:lstStyle/>
          <a:p>
            <a:pPr>
              <a:defRPr lang="en-US" cap="none" sz="700" u="none" baseline="0">
                <a:latin typeface="Arial"/>
                <a:ea typeface="Arial"/>
                <a:cs typeface="Arial"/>
              </a:defRPr>
            </a:pPr>
          </a:p>
        </c:txPr>
        <c:crossAx val="39232970"/>
        <c:crosses val="autoZero"/>
        <c:auto val="1"/>
        <c:lblOffset val="100"/>
        <c:noMultiLvlLbl val="0"/>
      </c:catAx>
      <c:valAx>
        <c:axId val="39232970"/>
        <c:scaling>
          <c:orientation val="minMax"/>
        </c:scaling>
        <c:axPos val="l"/>
        <c:delete val="0"/>
        <c:numFmt formatCode="#,##0\ &quot;€&quot;" sourceLinked="1"/>
        <c:majorTickMark val="out"/>
        <c:minorTickMark val="none"/>
        <c:tickLblPos val="nextTo"/>
        <c:txPr>
          <a:bodyPr/>
          <a:lstStyle/>
          <a:p>
            <a:pPr>
              <a:defRPr lang="en-US" cap="none" sz="700" u="none" baseline="0">
                <a:latin typeface="Arial"/>
                <a:ea typeface="Arial"/>
                <a:cs typeface="Arial"/>
              </a:defRPr>
            </a:pPr>
          </a:p>
        </c:txPr>
        <c:crossAx val="41641921"/>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u="none" baseline="0">
                <a:latin typeface="Arial"/>
                <a:ea typeface="Arial"/>
                <a:cs typeface="Arial"/>
              </a:rPr>
              <a:t>%  Costs /</a:t>
            </a:r>
            <a:r>
              <a:rPr lang="en-US" cap="none" sz="1000" u="none" baseline="0">
                <a:latin typeface="Arial"/>
                <a:ea typeface="Arial"/>
                <a:cs typeface="Arial"/>
              </a:rPr>
              <a:t> </a:t>
            </a:r>
            <a:r>
              <a:rPr lang="en-US" cap="none" sz="1000" u="none" baseline="0">
                <a:latin typeface="Arial"/>
                <a:ea typeface="Arial"/>
                <a:cs typeface="Arial"/>
              </a:rPr>
              <a:t>% Revenue</a:t>
            </a:r>
          </a:p>
        </c:rich>
      </c:tx>
      <c:layout>
        <c:manualLayout>
          <c:xMode val="edge"/>
          <c:yMode val="edge"/>
          <c:x val="0.156"/>
          <c:y val="0.06025"/>
        </c:manualLayout>
      </c:layout>
      <c:overlay val="0"/>
      <c:spPr>
        <a:noFill/>
        <a:ln>
          <a:noFill/>
        </a:ln>
      </c:spPr>
    </c:title>
    <c:plotArea>
      <c:layout>
        <c:manualLayout>
          <c:layoutTarget val="inner"/>
          <c:xMode val="edge"/>
          <c:yMode val="edge"/>
          <c:x val="0.1195"/>
          <c:y val="0.28575"/>
          <c:w val="0.84225"/>
          <c:h val="0.57925"/>
        </c:manualLayout>
      </c:layout>
      <c:barChart>
        <c:barDir val="col"/>
        <c:grouping val="clustered"/>
        <c:varyColors val="0"/>
        <c:ser>
          <c:idx val="1"/>
          <c:order val="0"/>
          <c:tx>
            <c:v>#RIF!</c:v>
          </c:tx>
          <c:spPr>
            <a:solidFill>
              <a:srgbClr val="196FC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700" b="1" u="none" baseline="0">
                    <a:solidFill>
                      <a:schemeClr val="tx1"/>
                    </a:solidFill>
                    <a:latin typeface="Arial"/>
                    <a:ea typeface="Arial"/>
                    <a:cs typeface="Arial"/>
                  </a:defRPr>
                </a:pPr>
              </a:p>
            </c:txPr>
            <c:dLblPos val="ctr"/>
            <c:showLegendKey val="0"/>
            <c:showVal val="1"/>
            <c:showBubbleSize val="0"/>
            <c:showCatName val="0"/>
            <c:showSerName val="0"/>
            <c:showPercent val="0"/>
          </c:dLbls>
          <c:trendline>
            <c:spPr>
              <a:ln w="25400">
                <a:solidFill>
                  <a:schemeClr val="accent1">
                    <a:lumMod val="60000"/>
                    <a:lumOff val="40000"/>
                  </a:schemeClr>
                </a:solidFill>
                <a:tailEnd type="stealth"/>
              </a:ln>
            </c:spPr>
            <c:trendlineType val="linear"/>
            <c:forward val="0.5"/>
            <c:dispEq val="0"/>
            <c:dispRSqr val="0"/>
          </c:trendline>
          <c:cat>
            <c:numRef>
              <c:f>'Financial Graphs'!$C$25:$C$29</c:f>
              <c:numCache/>
            </c:numRef>
          </c:cat>
          <c:val>
            <c:numRef>
              <c:f>'Financial Graphs'!$E$25:$E$29</c:f>
              <c:numCache/>
            </c:numRef>
          </c:val>
        </c:ser>
        <c:gapWidth val="60"/>
        <c:axId val="17552411"/>
        <c:axId val="23753972"/>
      </c:barChart>
      <c:catAx>
        <c:axId val="17552411"/>
        <c:scaling>
          <c:orientation val="minMax"/>
        </c:scaling>
        <c:axPos val="b"/>
        <c:delete val="0"/>
        <c:numFmt formatCode="General" sourceLinked="1"/>
        <c:majorTickMark val="out"/>
        <c:minorTickMark val="none"/>
        <c:tickLblPos val="nextTo"/>
        <c:txPr>
          <a:bodyPr/>
          <a:lstStyle/>
          <a:p>
            <a:pPr>
              <a:defRPr lang="en-US" cap="none" sz="700" u="none" baseline="0">
                <a:latin typeface="Arial"/>
                <a:ea typeface="Arial"/>
                <a:cs typeface="Arial"/>
              </a:defRPr>
            </a:pPr>
          </a:p>
        </c:txPr>
        <c:crossAx val="23753972"/>
        <c:crosses val="autoZero"/>
        <c:auto val="1"/>
        <c:lblOffset val="100"/>
        <c:noMultiLvlLbl val="0"/>
      </c:catAx>
      <c:valAx>
        <c:axId val="23753972"/>
        <c:scaling>
          <c:orientation val="minMax"/>
        </c:scaling>
        <c:axPos val="l"/>
        <c:delete val="0"/>
        <c:numFmt formatCode="0%" sourceLinked="1"/>
        <c:majorTickMark val="out"/>
        <c:minorTickMark val="none"/>
        <c:tickLblPos val="nextTo"/>
        <c:txPr>
          <a:bodyPr/>
          <a:lstStyle/>
          <a:p>
            <a:pPr>
              <a:defRPr lang="en-US" cap="none" sz="700" u="none" baseline="0">
                <a:latin typeface="Arial"/>
                <a:ea typeface="Arial"/>
                <a:cs typeface="Arial"/>
              </a:defRPr>
            </a:pPr>
          </a:p>
        </c:txPr>
        <c:crossAx val="17552411"/>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u="none" baseline="0">
                <a:latin typeface="Arial"/>
                <a:ea typeface="Arial"/>
                <a:cs typeface="Arial"/>
              </a:rPr>
              <a:t>Gross Profit per capita and</a:t>
            </a:r>
            <a:r>
              <a:rPr lang="en-US" cap="none" sz="1000" u="none" baseline="0">
                <a:latin typeface="Arial"/>
                <a:ea typeface="Arial"/>
                <a:cs typeface="Arial"/>
              </a:rPr>
              <a:t> #Employees</a:t>
            </a:r>
          </a:p>
        </c:rich>
      </c:tx>
      <c:layout>
        <c:manualLayout>
          <c:xMode val="edge"/>
          <c:yMode val="edge"/>
          <c:x val="0.1185"/>
          <c:y val="0.02275"/>
        </c:manualLayout>
      </c:layout>
      <c:overlay val="0"/>
      <c:spPr>
        <a:noFill/>
        <a:ln>
          <a:noFill/>
        </a:ln>
      </c:spPr>
    </c:title>
    <c:plotArea>
      <c:layout>
        <c:manualLayout>
          <c:layoutTarget val="inner"/>
          <c:xMode val="edge"/>
          <c:yMode val="edge"/>
          <c:x val="0.13"/>
          <c:y val="0.23875"/>
          <c:w val="0.75975"/>
          <c:h val="0.6495"/>
        </c:manualLayout>
      </c:layout>
      <c:barChart>
        <c:barDir val="col"/>
        <c:grouping val="clustered"/>
        <c:varyColors val="0"/>
        <c:ser>
          <c:idx val="0"/>
          <c:order val="0"/>
          <c:tx>
            <c:v>#RIF!</c:v>
          </c:tx>
          <c:spPr>
            <a:solidFill>
              <a:srgbClr val="196FC2"/>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14375"/>
                </c:manualLayout>
              </c:layout>
              <c:dLblPos val="outEnd"/>
              <c:showLegendKey val="0"/>
              <c:showVal val="1"/>
              <c:showBubbleSize val="0"/>
              <c:showCatName val="0"/>
              <c:showSerName val="0"/>
              <c:showPercent val="0"/>
            </c:dLbl>
            <c:dLbl>
              <c:idx val="1"/>
              <c:layout>
                <c:manualLayout>
                  <c:x val="0"/>
                  <c:y val="0.1975"/>
                </c:manualLayout>
              </c:layout>
              <c:dLblPos val="outEnd"/>
              <c:showLegendKey val="0"/>
              <c:showVal val="1"/>
              <c:showBubbleSize val="0"/>
              <c:showCatName val="0"/>
              <c:showSerName val="0"/>
              <c:showPercent val="0"/>
            </c:dLbl>
            <c:dLbl>
              <c:idx val="2"/>
              <c:layout>
                <c:manualLayout>
                  <c:x val="0"/>
                  <c:y val="0.168"/>
                </c:manualLayout>
              </c:layout>
              <c:dLblPos val="outEnd"/>
              <c:showLegendKey val="0"/>
              <c:showVal val="1"/>
              <c:showBubbleSize val="0"/>
              <c:showCatName val="0"/>
              <c:showSerName val="0"/>
              <c:showPercent val="0"/>
            </c:dLbl>
            <c:dLbl>
              <c:idx val="3"/>
              <c:layout>
                <c:manualLayout>
                  <c:x val="-0.003"/>
                  <c:y val="0.23"/>
                </c:manualLayout>
              </c:layout>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1" u="none" baseline="0">
                    <a:solidFill>
                      <a:schemeClr val="tx1"/>
                    </a:solidFill>
                    <a:latin typeface="Arial"/>
                    <a:ea typeface="Arial"/>
                    <a:cs typeface="Arial"/>
                  </a:defRPr>
                </a:pPr>
              </a:p>
            </c:txPr>
            <c:dLblPos val="inBase"/>
            <c:showLegendKey val="0"/>
            <c:showVal val="1"/>
            <c:showBubbleSize val="0"/>
            <c:showCatName val="0"/>
            <c:showSerName val="0"/>
            <c:showPercent val="0"/>
          </c:dLbls>
          <c:cat>
            <c:numRef>
              <c:f>'Financial Graphs'!$C$38:$C$42</c:f>
              <c:numCache/>
            </c:numRef>
          </c:cat>
          <c:val>
            <c:numRef>
              <c:f>'Financial Graphs'!$E$38:$E$42</c:f>
              <c:numCache/>
            </c:numRef>
          </c:val>
        </c:ser>
        <c:gapWidth val="60"/>
        <c:axId val="12459157"/>
        <c:axId val="45023550"/>
      </c:barChart>
      <c:lineChart>
        <c:grouping val="standard"/>
        <c:varyColors val="0"/>
        <c:ser>
          <c:idx val="3"/>
          <c:order val="1"/>
          <c:tx>
            <c:v>#RIF!</c:v>
          </c:tx>
          <c:spPr>
            <a:ln>
              <a:solidFill>
                <a:schemeClr val="accent1">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chemeClr val="bg1"/>
              </a:solidFill>
              <a:ln>
                <a:solidFill>
                  <a:schemeClr val="accent1">
                    <a:lumMod val="60000"/>
                    <a:lumOff val="40000"/>
                  </a:schemeClr>
                </a:solidFill>
              </a:ln>
            </c:spPr>
          </c:marker>
          <c:dLbls>
            <c:dLbl>
              <c:idx val="0"/>
              <c:layout>
                <c:manualLayout>
                  <c:x val="-0.03425"/>
                  <c:y val="-0.06425"/>
                </c:manualLayout>
              </c:layout>
              <c:dLblPos val="r"/>
              <c:showLegendKey val="0"/>
              <c:showVal val="1"/>
              <c:showBubbleSize val="0"/>
              <c:showCatName val="0"/>
              <c:showSerName val="0"/>
              <c:showPercent val="0"/>
            </c:dLbl>
            <c:dLbl>
              <c:idx val="1"/>
              <c:layout>
                <c:manualLayout>
                  <c:x val="-0.06"/>
                  <c:y val="-0.04925"/>
                </c:manualLayout>
              </c:layout>
              <c:dLblPos val="r"/>
              <c:showLegendKey val="0"/>
              <c:showVal val="1"/>
              <c:showBubbleSize val="0"/>
              <c:showCatName val="0"/>
              <c:showSerName val="0"/>
              <c:showPercent val="0"/>
            </c:dLbl>
            <c:dLbl>
              <c:idx val="2"/>
              <c:layout>
                <c:manualLayout>
                  <c:x val="-0.04675"/>
                  <c:y val="-0.061"/>
                </c:manualLayout>
              </c:layout>
              <c:dLblPos val="r"/>
              <c:showLegendKey val="0"/>
              <c:showVal val="1"/>
              <c:showBubbleSize val="0"/>
              <c:showCatName val="0"/>
              <c:showSerName val="0"/>
              <c:showPercent val="0"/>
            </c:dLbl>
            <c:dLbl>
              <c:idx val="3"/>
              <c:layout>
                <c:manualLayout>
                  <c:x val="-0.01375"/>
                  <c:y val="-0.0345"/>
                </c:manualLayout>
              </c:layout>
              <c:dLblPos val="r"/>
              <c:showLegendKey val="0"/>
              <c:showVal val="1"/>
              <c:showBubbleSize val="0"/>
              <c:showCatName val="0"/>
              <c:showSerName val="0"/>
              <c:showPercent val="0"/>
            </c:dLbl>
            <c:numFmt formatCode="#,##0" sourceLinked="0"/>
            <c:spPr>
              <a:noFill/>
              <a:ln>
                <a:noFill/>
              </a:ln>
            </c:spPr>
            <c:txPr>
              <a:bodyPr vert="horz" rot="0" anchor="ctr"/>
              <a:lstStyle/>
              <a:p>
                <a:pPr algn="ctr">
                  <a:defRPr lang="en-US" cap="none" sz="700" b="1" u="none" baseline="0">
                    <a:latin typeface="Arial"/>
                    <a:ea typeface="Arial"/>
                    <a:cs typeface="Arial"/>
                  </a:defRPr>
                </a:pPr>
              </a:p>
            </c:txPr>
            <c:dLblPos val="t"/>
            <c:showLegendKey val="0"/>
            <c:showVal val="1"/>
            <c:showBubbleSize val="0"/>
            <c:showCatName val="0"/>
            <c:showSerName val="0"/>
            <c:showLeaderLines val="1"/>
            <c:showPercent val="0"/>
          </c:dLbls>
          <c:val>
            <c:numRef>
              <c:f>'Financial Graphs'!$E$32:$E$36</c:f>
              <c:numCache/>
            </c:numRef>
          </c:val>
          <c:smooth val="0"/>
        </c:ser>
        <c:marker val="1"/>
        <c:axId val="2558767"/>
        <c:axId val="23028904"/>
      </c:lineChart>
      <c:catAx>
        <c:axId val="12459157"/>
        <c:scaling>
          <c:orientation val="minMax"/>
        </c:scaling>
        <c:axPos val="b"/>
        <c:delete val="0"/>
        <c:numFmt formatCode="General" sourceLinked="0"/>
        <c:majorTickMark val="out"/>
        <c:minorTickMark val="none"/>
        <c:tickLblPos val="nextTo"/>
        <c:txPr>
          <a:bodyPr/>
          <a:lstStyle/>
          <a:p>
            <a:pPr>
              <a:defRPr lang="en-US" cap="none" sz="700" u="none" baseline="0">
                <a:latin typeface="Arial"/>
                <a:ea typeface="Arial"/>
                <a:cs typeface="Arial"/>
              </a:defRPr>
            </a:pPr>
          </a:p>
        </c:txPr>
        <c:crossAx val="45023550"/>
        <c:crosses val="autoZero"/>
        <c:auto val="1"/>
        <c:lblOffset val="100"/>
        <c:noMultiLvlLbl val="0"/>
      </c:catAx>
      <c:valAx>
        <c:axId val="45023550"/>
        <c:scaling>
          <c:orientation val="minMax"/>
        </c:scaling>
        <c:axPos val="l"/>
        <c:delete val="0"/>
        <c:numFmt formatCode="_-* #,##0_-;\-* #,##0_-;_-* &quot;-&quot;??_-;_-@_-" sourceLinked="1"/>
        <c:majorTickMark val="out"/>
        <c:minorTickMark val="none"/>
        <c:tickLblPos val="nextTo"/>
        <c:txPr>
          <a:bodyPr/>
          <a:lstStyle/>
          <a:p>
            <a:pPr>
              <a:defRPr lang="en-US" cap="none" sz="700" u="none" baseline="0">
                <a:latin typeface="Arial"/>
                <a:ea typeface="Arial"/>
                <a:cs typeface="Arial"/>
              </a:defRPr>
            </a:pPr>
          </a:p>
        </c:txPr>
        <c:crossAx val="12459157"/>
        <c:crosses val="autoZero"/>
        <c:crossBetween val="between"/>
        <c:dispUnits/>
      </c:valAx>
      <c:catAx>
        <c:axId val="2558767"/>
        <c:scaling>
          <c:orientation val="minMax"/>
        </c:scaling>
        <c:axPos val="b"/>
        <c:delete val="1"/>
        <c:majorTickMark val="out"/>
        <c:minorTickMark val="none"/>
        <c:tickLblPos val="nextTo"/>
        <c:crossAx val="23028904"/>
        <c:crosses val="autoZero"/>
        <c:auto val="1"/>
        <c:lblOffset val="100"/>
        <c:noMultiLvlLbl val="0"/>
      </c:catAx>
      <c:valAx>
        <c:axId val="23028904"/>
        <c:scaling>
          <c:orientation val="minMax"/>
        </c:scaling>
        <c:axPos val="l"/>
        <c:delete val="0"/>
        <c:numFmt formatCode="#,##0" sourceLinked="0"/>
        <c:majorTickMark val="out"/>
        <c:minorTickMark val="none"/>
        <c:tickLblPos val="nextTo"/>
        <c:txPr>
          <a:bodyPr/>
          <a:lstStyle/>
          <a:p>
            <a:pPr>
              <a:defRPr lang="en-US" cap="none" sz="700" u="none" baseline="0">
                <a:latin typeface="Arial"/>
                <a:ea typeface="Arial"/>
                <a:cs typeface="Arial"/>
              </a:defRPr>
            </a:pPr>
          </a:p>
        </c:txPr>
        <c:crossAx val="2558767"/>
        <c:crosses val="max"/>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u="none" baseline="0">
                <a:latin typeface="Arial"/>
                <a:ea typeface="Arial"/>
                <a:cs typeface="Arial"/>
              </a:rPr>
              <a:t>EBT </a:t>
            </a:r>
            <a:r>
              <a:rPr lang="en-US" cap="none" sz="1000" u="none" baseline="0">
                <a:latin typeface="Arial"/>
                <a:ea typeface="Arial"/>
                <a:cs typeface="Arial"/>
              </a:rPr>
              <a:t>per capita and #Employees</a:t>
            </a:r>
          </a:p>
        </c:rich>
      </c:tx>
      <c:layout>
        <c:manualLayout>
          <c:xMode val="edge"/>
          <c:yMode val="edge"/>
          <c:x val="0.258"/>
          <c:y val="0.0425"/>
        </c:manualLayout>
      </c:layout>
      <c:overlay val="0"/>
      <c:spPr>
        <a:noFill/>
        <a:ln>
          <a:noFill/>
        </a:ln>
      </c:spPr>
    </c:title>
    <c:plotArea>
      <c:layout>
        <c:manualLayout>
          <c:layoutTarget val="inner"/>
          <c:xMode val="edge"/>
          <c:yMode val="edge"/>
          <c:x val="0.13"/>
          <c:y val="0.23875"/>
          <c:w val="0.75975"/>
          <c:h val="0.6495"/>
        </c:manualLayout>
      </c:layout>
      <c:barChart>
        <c:barDir val="col"/>
        <c:grouping val="clustered"/>
        <c:varyColors val="0"/>
        <c:ser>
          <c:idx val="0"/>
          <c:order val="0"/>
          <c:tx>
            <c:v>#RIF!</c:v>
          </c:tx>
          <c:spPr>
            <a:solidFill>
              <a:srgbClr val="196FC2"/>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209"/>
                </c:manualLayout>
              </c:layout>
              <c:dLblPos val="outEnd"/>
              <c:showLegendKey val="0"/>
              <c:showVal val="1"/>
              <c:showBubbleSize val="0"/>
              <c:showCatName val="0"/>
              <c:showSerName val="0"/>
              <c:showPercent val="0"/>
              <c:separator>. </c:separator>
            </c:dLbl>
            <c:dLbl>
              <c:idx val="1"/>
              <c:layout>
                <c:manualLayout>
                  <c:x val="0"/>
                  <c:y val="-0.0215"/>
                </c:manualLayout>
              </c:layout>
              <c:dLblPos val="outEnd"/>
              <c:showLegendKey val="0"/>
              <c:showVal val="1"/>
              <c:showBubbleSize val="0"/>
              <c:showCatName val="0"/>
              <c:showSerName val="0"/>
              <c:showPercent val="0"/>
              <c:separator>. </c:separator>
            </c:dLbl>
            <c:dLbl>
              <c:idx val="2"/>
              <c:layout>
                <c:manualLayout>
                  <c:x val="0"/>
                  <c:y val="-0.023"/>
                </c:manualLayout>
              </c:layout>
              <c:dLblPos val="outEnd"/>
              <c:showLegendKey val="0"/>
              <c:showVal val="1"/>
              <c:showBubbleSize val="0"/>
              <c:showCatName val="0"/>
              <c:showSerName val="0"/>
              <c:showPercent val="0"/>
              <c:separator>. </c:separator>
            </c:dLbl>
            <c:numFmt formatCode="#,##0" sourceLinked="0"/>
            <c:spPr>
              <a:noFill/>
              <a:ln>
                <a:noFill/>
              </a:ln>
            </c:spPr>
            <c:txPr>
              <a:bodyPr vert="horz" rot="0" anchor="ctr"/>
              <a:lstStyle/>
              <a:p>
                <a:pPr algn="ctr">
                  <a:defRPr lang="en-US" cap="none" sz="700" b="1" u="none" baseline="0">
                    <a:solidFill>
                      <a:schemeClr val="tx1"/>
                    </a:solidFill>
                    <a:latin typeface="Arial"/>
                    <a:ea typeface="Arial"/>
                    <a:cs typeface="Arial"/>
                  </a:defRPr>
                </a:pPr>
              </a:p>
            </c:txPr>
            <c:dLblPos val="ctr"/>
            <c:showLegendKey val="0"/>
            <c:showVal val="1"/>
            <c:showBubbleSize val="0"/>
            <c:showCatName val="0"/>
            <c:showSerName val="0"/>
            <c:showPercent val="0"/>
            <c:separator>. </c:separator>
          </c:dLbls>
          <c:cat>
            <c:numRef>
              <c:f>'Financial Graphs'!$C$44:$C$48</c:f>
              <c:numCache/>
            </c:numRef>
          </c:cat>
          <c:val>
            <c:numRef>
              <c:f>'Financial Graphs'!$E$44:$E$48</c:f>
              <c:numCache/>
            </c:numRef>
          </c:val>
        </c:ser>
        <c:gapWidth val="60"/>
        <c:axId val="5933545"/>
        <c:axId val="53401906"/>
      </c:barChart>
      <c:lineChart>
        <c:grouping val="standard"/>
        <c:varyColors val="0"/>
        <c:ser>
          <c:idx val="3"/>
          <c:order val="1"/>
          <c:tx>
            <c:v>#RIF!</c:v>
          </c:tx>
          <c:spPr>
            <a:ln>
              <a:solidFill>
                <a:schemeClr val="accent1">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chemeClr val="bg1"/>
              </a:solidFill>
              <a:ln>
                <a:solidFill>
                  <a:schemeClr val="accent1">
                    <a:lumMod val="60000"/>
                    <a:lumOff val="40000"/>
                  </a:schemeClr>
                </a:solidFill>
              </a:ln>
            </c:spPr>
          </c:marker>
          <c:dLbls>
            <c:dLbl>
              <c:idx val="0"/>
              <c:layout>
                <c:manualLayout>
                  <c:x val="-0.03425"/>
                  <c:y val="-0.06425"/>
                </c:manualLayout>
              </c:layout>
              <c:dLblPos val="r"/>
              <c:showLegendKey val="0"/>
              <c:showVal val="1"/>
              <c:showBubbleSize val="0"/>
              <c:showCatName val="0"/>
              <c:showSerName val="0"/>
              <c:showPercent val="0"/>
            </c:dLbl>
            <c:dLbl>
              <c:idx val="1"/>
              <c:layout>
                <c:manualLayout>
                  <c:x val="-0.06325"/>
                  <c:y val="-0.0805"/>
                </c:manualLayout>
              </c:layout>
              <c:dLblPos val="r"/>
              <c:showLegendKey val="0"/>
              <c:showVal val="1"/>
              <c:showBubbleSize val="0"/>
              <c:showCatName val="0"/>
              <c:showSerName val="0"/>
              <c:showPercent val="0"/>
            </c:dLbl>
            <c:dLbl>
              <c:idx val="2"/>
              <c:layout>
                <c:manualLayout>
                  <c:x val="-0.04675"/>
                  <c:y val="-0.0765"/>
                </c:manualLayout>
              </c:layout>
              <c:dLblPos val="r"/>
              <c:showLegendKey val="0"/>
              <c:showVal val="1"/>
              <c:showBubbleSize val="0"/>
              <c:showCatName val="0"/>
              <c:showSerName val="0"/>
              <c:showPercent val="0"/>
            </c:dLbl>
            <c:dLbl>
              <c:idx val="3"/>
              <c:layout>
                <c:manualLayout>
                  <c:x val="-0.01375"/>
                  <c:y val="-0.0345"/>
                </c:manualLayout>
              </c:layout>
              <c:dLblPos val="r"/>
              <c:showLegendKey val="0"/>
              <c:showVal val="1"/>
              <c:showBubbleSize val="0"/>
              <c:showCatName val="0"/>
              <c:showSerName val="0"/>
              <c:showPercent val="0"/>
            </c:dLbl>
            <c:numFmt formatCode="#,##0" sourceLinked="0"/>
            <c:spPr>
              <a:noFill/>
              <a:ln>
                <a:noFill/>
              </a:ln>
            </c:spPr>
            <c:txPr>
              <a:bodyPr vert="horz" rot="0" anchor="ctr"/>
              <a:lstStyle/>
              <a:p>
                <a:pPr algn="ctr">
                  <a:defRPr lang="en-US" cap="none" sz="700" b="1" u="none" baseline="0">
                    <a:latin typeface="Arial"/>
                    <a:ea typeface="Arial"/>
                    <a:cs typeface="Arial"/>
                  </a:defRPr>
                </a:pPr>
              </a:p>
            </c:txPr>
            <c:dLblPos val="t"/>
            <c:showLegendKey val="0"/>
            <c:showVal val="1"/>
            <c:showBubbleSize val="0"/>
            <c:showCatName val="0"/>
            <c:showSerName val="0"/>
            <c:showLeaderLines val="1"/>
            <c:showPercent val="0"/>
          </c:dLbls>
          <c:val>
            <c:numRef>
              <c:f>'Financial Graphs'!$E$32:$E$36</c:f>
              <c:numCache/>
            </c:numRef>
          </c:val>
          <c:smooth val="0"/>
        </c:ser>
        <c:marker val="1"/>
        <c:axId val="10855107"/>
        <c:axId val="30587100"/>
      </c:lineChart>
      <c:catAx>
        <c:axId val="5933545"/>
        <c:scaling>
          <c:orientation val="minMax"/>
        </c:scaling>
        <c:axPos val="b"/>
        <c:delete val="0"/>
        <c:numFmt formatCode="General" sourceLinked="0"/>
        <c:majorTickMark val="out"/>
        <c:minorTickMark val="none"/>
        <c:tickLblPos val="nextTo"/>
        <c:txPr>
          <a:bodyPr/>
          <a:lstStyle/>
          <a:p>
            <a:pPr>
              <a:defRPr lang="en-US" cap="none" sz="700" u="none" baseline="0">
                <a:latin typeface="Arial"/>
                <a:ea typeface="Arial"/>
                <a:cs typeface="Arial"/>
              </a:defRPr>
            </a:pPr>
          </a:p>
        </c:txPr>
        <c:crossAx val="53401906"/>
        <c:crosses val="autoZero"/>
        <c:auto val="1"/>
        <c:lblOffset val="100"/>
        <c:noMultiLvlLbl val="0"/>
      </c:catAx>
      <c:valAx>
        <c:axId val="53401906"/>
        <c:scaling>
          <c:orientation val="minMax"/>
        </c:scaling>
        <c:axPos val="l"/>
        <c:delete val="0"/>
        <c:numFmt formatCode="_-* #,##0_-;\-* #,##0_-;_-* &quot;-&quot;??_-;_-@_-" sourceLinked="1"/>
        <c:majorTickMark val="out"/>
        <c:minorTickMark val="none"/>
        <c:tickLblPos val="nextTo"/>
        <c:txPr>
          <a:bodyPr/>
          <a:lstStyle/>
          <a:p>
            <a:pPr>
              <a:defRPr lang="en-US" cap="none" sz="700" u="none" baseline="0">
                <a:latin typeface="Arial"/>
                <a:ea typeface="Arial"/>
                <a:cs typeface="Arial"/>
              </a:defRPr>
            </a:pPr>
          </a:p>
        </c:txPr>
        <c:crossAx val="5933545"/>
        <c:crosses val="autoZero"/>
        <c:crossBetween val="between"/>
        <c:dispUnits/>
      </c:valAx>
      <c:catAx>
        <c:axId val="10855107"/>
        <c:scaling>
          <c:orientation val="minMax"/>
        </c:scaling>
        <c:axPos val="b"/>
        <c:delete val="1"/>
        <c:majorTickMark val="out"/>
        <c:minorTickMark val="none"/>
        <c:tickLblPos val="nextTo"/>
        <c:crossAx val="30587100"/>
        <c:crosses val="autoZero"/>
        <c:auto val="1"/>
        <c:lblOffset val="100"/>
        <c:noMultiLvlLbl val="0"/>
      </c:catAx>
      <c:valAx>
        <c:axId val="30587100"/>
        <c:scaling>
          <c:orientation val="minMax"/>
        </c:scaling>
        <c:axPos val="l"/>
        <c:delete val="0"/>
        <c:numFmt formatCode="#,##0" sourceLinked="0"/>
        <c:majorTickMark val="out"/>
        <c:minorTickMark val="none"/>
        <c:tickLblPos val="nextTo"/>
        <c:txPr>
          <a:bodyPr/>
          <a:lstStyle/>
          <a:p>
            <a:pPr>
              <a:defRPr lang="en-US" cap="none" sz="700" u="none" baseline="0">
                <a:latin typeface="Arial"/>
                <a:ea typeface="Arial"/>
                <a:cs typeface="Arial"/>
              </a:defRPr>
            </a:pPr>
          </a:p>
        </c:txPr>
        <c:crossAx val="10855107"/>
        <c:crosses val="max"/>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30"/>
      <c:rotY val="0"/>
      <c:depthPercent val="100"/>
      <c:rAngAx val="0"/>
      <c:perspective val="30"/>
    </c:view3D>
    <c:plotArea>
      <c:layout>
        <c:manualLayout>
          <c:layoutTarget val="inner"/>
          <c:xMode val="edge"/>
          <c:yMode val="edge"/>
          <c:x val="0"/>
          <c:y val="0.12625"/>
          <c:w val="1"/>
          <c:h val="0.481"/>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1"/>
            <c:spPr>
              <a:gradFill rotWithShape="1">
                <a:gsLst>
                  <a:gs pos="0">
                    <a:schemeClr val="accent2">
                      <a:tint val="100000"/>
                      <a:shade val="100000"/>
                      <a:satMod val="130000"/>
                    </a:schemeClr>
                  </a:gs>
                  <a:gs pos="100000">
                    <a:schemeClr val="accent2">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2"/>
            <c:spPr>
              <a:gradFill rotWithShape="1">
                <a:gsLst>
                  <a:gs pos="0">
                    <a:schemeClr val="accent3">
                      <a:tint val="100000"/>
                      <a:shade val="100000"/>
                      <a:satMod val="130000"/>
                    </a:schemeClr>
                  </a:gs>
                  <a:gs pos="100000">
                    <a:schemeClr val="accent3">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3"/>
            <c:spPr>
              <a:solidFill>
                <a:srgbClr val="FFC000"/>
              </a:soli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4"/>
            <c:spPr>
              <a:gradFill rotWithShape="1">
                <a:gsLst>
                  <a:gs pos="0">
                    <a:schemeClr val="accent5">
                      <a:tint val="100000"/>
                      <a:shade val="100000"/>
                      <a:satMod val="130000"/>
                    </a:schemeClr>
                  </a:gs>
                  <a:gs pos="100000">
                    <a:schemeClr val="accent5">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Lbls>
            <c:numFmt formatCode="General" sourceLinked="1"/>
            <c:showLegendKey val="0"/>
            <c:showVal val="0"/>
            <c:showBubbleSize val="0"/>
            <c:showCatName val="0"/>
            <c:showSerName val="0"/>
            <c:showLeaderLines val="0"/>
            <c:showPercent val="0"/>
          </c:dLbls>
          <c:val>
            <c:numRef>
              <c:f>Dashboard!$J$7:$J$11</c:f>
              <c:numCache/>
            </c:numRef>
          </c:val>
        </c:ser>
      </c:pie3DChart>
      <c:spPr>
        <a:noFill/>
        <a:ln>
          <a:noFill/>
        </a:ln>
      </c:spPr>
    </c:plotArea>
    <c:legend>
      <c:legendPos val="b"/>
      <c:layout>
        <c:manualLayout>
          <c:xMode val="edge"/>
          <c:yMode val="edge"/>
          <c:x val="0.10175"/>
          <c:y val="0.6875"/>
          <c:w val="0.86"/>
          <c:h val="0.243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30"/>
      <c:rotY val="0"/>
      <c:depthPercent val="100"/>
      <c:rAngAx val="0"/>
      <c:perspective val="30"/>
    </c:view3D>
    <c:plotArea>
      <c:layout>
        <c:manualLayout>
          <c:layoutTarget val="inner"/>
          <c:xMode val="edge"/>
          <c:yMode val="edge"/>
          <c:x val="0"/>
          <c:y val="0.1225"/>
          <c:w val="1"/>
          <c:h val="0.506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1"/>
            <c:spPr>
              <a:gradFill rotWithShape="1">
                <a:gsLst>
                  <a:gs pos="0">
                    <a:schemeClr val="accent2">
                      <a:tint val="100000"/>
                      <a:shade val="100000"/>
                      <a:satMod val="130000"/>
                    </a:schemeClr>
                  </a:gs>
                  <a:gs pos="100000">
                    <a:schemeClr val="accent2">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2"/>
            <c:spPr>
              <a:gradFill rotWithShape="1">
                <a:gsLst>
                  <a:gs pos="0">
                    <a:schemeClr val="accent3">
                      <a:tint val="100000"/>
                      <a:shade val="100000"/>
                      <a:satMod val="130000"/>
                    </a:schemeClr>
                  </a:gs>
                  <a:gs pos="100000">
                    <a:schemeClr val="accent3">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3"/>
            <c:spPr>
              <a:solidFill>
                <a:srgbClr val="FFC000"/>
              </a:soli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4"/>
            <c:spPr>
              <a:gradFill rotWithShape="1">
                <a:gsLst>
                  <a:gs pos="0">
                    <a:schemeClr val="accent5">
                      <a:tint val="100000"/>
                      <a:shade val="100000"/>
                      <a:satMod val="130000"/>
                    </a:schemeClr>
                  </a:gs>
                  <a:gs pos="100000">
                    <a:schemeClr val="accent5">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Lbls>
            <c:numFmt formatCode="General" sourceLinked="1"/>
            <c:showLegendKey val="0"/>
            <c:showVal val="0"/>
            <c:showBubbleSize val="0"/>
            <c:showCatName val="0"/>
            <c:showSerName val="0"/>
            <c:showLeaderLines val="0"/>
            <c:showPercent val="0"/>
          </c:dLbls>
          <c:val>
            <c:numRef>
              <c:f>Dashboard!$O$7:$O$11</c:f>
              <c:numCache/>
            </c:numRef>
          </c:val>
        </c:ser>
      </c:pie3DChart>
      <c:spPr>
        <a:noFill/>
        <a:ln>
          <a:noFill/>
        </a:ln>
      </c:spPr>
    </c:plotArea>
    <c:legend>
      <c:legendPos val="b"/>
      <c:layout>
        <c:manualLayout>
          <c:xMode val="edge"/>
          <c:yMode val="edge"/>
          <c:x val="0.14"/>
          <c:y val="0.674"/>
          <c:w val="0.86"/>
          <c:h val="0.2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30"/>
      <c:rotY val="0"/>
      <c:depthPercent val="100"/>
      <c:rAngAx val="0"/>
      <c:perspective val="30"/>
    </c:view3D>
    <c:plotArea>
      <c:layout>
        <c:manualLayout>
          <c:layoutTarget val="inner"/>
          <c:xMode val="edge"/>
          <c:yMode val="edge"/>
          <c:x val="0"/>
          <c:y val="0.1225"/>
          <c:w val="1"/>
          <c:h val="0.506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1"/>
            <c:spPr>
              <a:gradFill rotWithShape="1">
                <a:gsLst>
                  <a:gs pos="0">
                    <a:schemeClr val="accent2">
                      <a:tint val="100000"/>
                      <a:shade val="100000"/>
                      <a:satMod val="130000"/>
                    </a:schemeClr>
                  </a:gs>
                  <a:gs pos="100000">
                    <a:schemeClr val="accent2">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2"/>
            <c:spPr>
              <a:gradFill rotWithShape="1">
                <a:gsLst>
                  <a:gs pos="0">
                    <a:schemeClr val="accent3">
                      <a:tint val="100000"/>
                      <a:shade val="100000"/>
                      <a:satMod val="130000"/>
                    </a:schemeClr>
                  </a:gs>
                  <a:gs pos="100000">
                    <a:schemeClr val="accent3">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3"/>
            <c:spPr>
              <a:solidFill>
                <a:srgbClr val="FFC000"/>
              </a:soli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4"/>
            <c:spPr>
              <a:gradFill rotWithShape="1">
                <a:gsLst>
                  <a:gs pos="0">
                    <a:schemeClr val="accent5">
                      <a:tint val="100000"/>
                      <a:shade val="100000"/>
                      <a:satMod val="130000"/>
                    </a:schemeClr>
                  </a:gs>
                  <a:gs pos="100000">
                    <a:schemeClr val="accent5">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Lbls>
            <c:numFmt formatCode="General" sourceLinked="1"/>
            <c:showLegendKey val="0"/>
            <c:showVal val="0"/>
            <c:showBubbleSize val="0"/>
            <c:showCatName val="0"/>
            <c:showSerName val="0"/>
            <c:showLeaderLines val="0"/>
            <c:showPercent val="0"/>
          </c:dLbls>
          <c:val>
            <c:numRef>
              <c:f>Dashboard!$T$7:$T$11</c:f>
              <c:numCache/>
            </c:numRef>
          </c:val>
        </c:ser>
      </c:pie3DChart>
      <c:spPr>
        <a:noFill/>
        <a:ln>
          <a:noFill/>
        </a:ln>
      </c:spPr>
    </c:plotArea>
    <c:legend>
      <c:legendPos val="b"/>
      <c:layout>
        <c:manualLayout>
          <c:xMode val="edge"/>
          <c:yMode val="edge"/>
          <c:x val="0.14"/>
          <c:y val="0.68525"/>
          <c:w val="0.80275"/>
          <c:h val="0.248"/>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30"/>
      <c:rotY val="0"/>
      <c:depthPercent val="100"/>
      <c:rAngAx val="0"/>
      <c:perspective val="30"/>
    </c:view3D>
    <c:plotArea>
      <c:layout>
        <c:manualLayout>
          <c:layoutTarget val="inner"/>
          <c:xMode val="edge"/>
          <c:yMode val="edge"/>
          <c:x val="0"/>
          <c:y val="0.1225"/>
          <c:w val="1"/>
          <c:h val="0.495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1"/>
            <c:spPr>
              <a:gradFill rotWithShape="1">
                <a:gsLst>
                  <a:gs pos="0">
                    <a:schemeClr val="accent2">
                      <a:tint val="100000"/>
                      <a:shade val="100000"/>
                      <a:satMod val="130000"/>
                    </a:schemeClr>
                  </a:gs>
                  <a:gs pos="100000">
                    <a:schemeClr val="accent2">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2"/>
            <c:spPr>
              <a:gradFill rotWithShape="1">
                <a:gsLst>
                  <a:gs pos="0">
                    <a:schemeClr val="accent3">
                      <a:tint val="100000"/>
                      <a:shade val="100000"/>
                      <a:satMod val="130000"/>
                    </a:schemeClr>
                  </a:gs>
                  <a:gs pos="100000">
                    <a:schemeClr val="accent3">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3"/>
            <c:spPr>
              <a:solidFill>
                <a:srgbClr val="FFC000"/>
              </a:soli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Pt>
            <c:idx val="4"/>
            <c:spPr>
              <a:gradFill rotWithShape="1">
                <a:gsLst>
                  <a:gs pos="0">
                    <a:schemeClr val="accent5">
                      <a:tint val="100000"/>
                      <a:shade val="100000"/>
                      <a:satMod val="130000"/>
                    </a:schemeClr>
                  </a:gs>
                  <a:gs pos="100000">
                    <a:schemeClr val="accent5">
                      <a:tint val="50000"/>
                      <a:shade val="100000"/>
                      <a:satMod val="350000"/>
                    </a:scheme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dPt>
          <c:dLbls>
            <c:numFmt formatCode="General" sourceLinked="1"/>
            <c:showLegendKey val="0"/>
            <c:showVal val="0"/>
            <c:showBubbleSize val="0"/>
            <c:showCatName val="0"/>
            <c:showSerName val="0"/>
            <c:showLeaderLines val="0"/>
            <c:showPercent val="0"/>
          </c:dLbls>
          <c:val>
            <c:numRef>
              <c:f>Dashboard!$Y$7:$Y$11</c:f>
              <c:numCache/>
            </c:numRef>
          </c:val>
        </c:ser>
      </c:pie3DChart>
      <c:spPr>
        <a:noFill/>
        <a:ln>
          <a:noFill/>
        </a:ln>
      </c:spPr>
    </c:plotArea>
    <c:legend>
      <c:legendPos val="b"/>
      <c:layout>
        <c:manualLayout>
          <c:xMode val="edge"/>
          <c:yMode val="edge"/>
          <c:x val="0.104"/>
          <c:y val="0.674"/>
          <c:w val="0.84825"/>
          <c:h val="0.2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Lbls>
            <c:numFmt formatCode="General" sourceLinked="1"/>
            <c:showLegendKey val="0"/>
            <c:showVal val="0"/>
            <c:showBubbleSize val="0"/>
            <c:showCatName val="0"/>
            <c:showSerName val="0"/>
            <c:showLeaderLines val="1"/>
            <c:showPercent val="0"/>
          </c:dLbls>
          <c:cat>
            <c:strRef>
              <c:f>Dashboard!$B$103:$B$109</c:f>
              <c:strCache/>
            </c:strRef>
          </c:cat>
          <c:val>
            <c:numRef>
              <c:f>Dashboard!$C$103:$C$109</c:f>
              <c:numCache/>
            </c:numRef>
          </c:val>
        </c:ser>
        <c:holeSize val="75"/>
      </c:doughnutChart>
      <c:spPr>
        <a:noFill/>
        <a:ln>
          <a:noFill/>
        </a:ln>
      </c:spPr>
    </c:plotArea>
    <c:legend>
      <c:legendPos val="r"/>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txPr>
    <a:bodyPr vert="horz" rot="0"/>
    <a:lstStyle/>
    <a:p>
      <a:pPr>
        <a:defRPr lang="en-US" cap="none" sz="14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Football field</a:t>
            </a:r>
          </a:p>
        </c:rich>
      </c:tx>
      <c:layout/>
      <c:overlay val="0"/>
      <c:spPr>
        <a:noFill/>
        <a:ln>
          <a:noFill/>
        </a:ln>
      </c:spPr>
    </c:title>
    <c:plotArea>
      <c:layout/>
      <c:barChart>
        <c:barDir val="bar"/>
        <c:grouping val="clustered"/>
        <c:varyColors val="0"/>
        <c:ser>
          <c:idx val="1"/>
          <c:order val="0"/>
          <c:spPr>
            <a:solidFill>
              <a:srgbClr val="00549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Valuation!$C$57:$C$58</c:f>
              <c:strCache/>
            </c:strRef>
          </c:cat>
          <c:val>
            <c:numRef>
              <c:f>Valuation!$E$57:$E$58</c:f>
              <c:numCache/>
            </c:numRef>
          </c:val>
        </c:ser>
        <c:gapWidth val="182"/>
        <c:axId val="18737049"/>
        <c:axId val="34415714"/>
      </c:barChart>
      <c:catAx>
        <c:axId val="18737049"/>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4415714"/>
        <c:crosses val="autoZero"/>
        <c:auto val="1"/>
        <c:lblOffset val="100"/>
        <c:noMultiLvlLbl val="0"/>
      </c:catAx>
      <c:valAx>
        <c:axId val="34415714"/>
        <c:scaling>
          <c:orientation val="minMax"/>
        </c:scaling>
        <c:axPos val="b"/>
        <c:majorGridlines>
          <c:spPr>
            <a:ln w="9525" cap="flat" cmpd="sng">
              <a:solidFill>
                <a:schemeClr val="tx1">
                  <a:lumMod val="15000"/>
                  <a:lumOff val="85000"/>
                </a:schemeClr>
              </a:solidFill>
              <a:round/>
            </a:ln>
          </c:spPr>
        </c:majorGridlines>
        <c:delete val="0"/>
        <c:numFmt formatCode="_-* #,##0\ [$€-410]_-;\-* #,##0\ [$€-410]_-;_-* &quot;-&quot;\ [$€-410]_-;_-@_-" sourceLinked="0"/>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737049"/>
        <c:crosses val="autoZero"/>
        <c:crossBetween val="between"/>
        <c:dispUnits>
          <c:builtInUnit val="millions"/>
          <c:dispUnitsLbl>
            <c:layout/>
            <c:spPr>
              <a:noFill/>
              <a:ln>
                <a:noFill/>
              </a:ln>
            </c:spPr>
            <c:txPr>
              <a:bodyPr vert="horz" rot="0"/>
              <a:lstStyle/>
              <a:p>
                <a:pPr>
                  <a:defRPr lang="en-US" cap="none" b="1" u="none" baseline="0">
                    <a:latin typeface="Calibri"/>
                    <a:ea typeface="Calibri"/>
                    <a:cs typeface="Calibri"/>
                  </a:defRPr>
                </a:pPr>
              </a:p>
            </c:txPr>
          </c:dispUnitsLbl>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u="none" baseline="0">
                <a:latin typeface="Arial"/>
                <a:ea typeface="Arial"/>
                <a:cs typeface="Arial"/>
              </a:rPr>
              <a:t>EBITDA</a:t>
            </a:r>
            <a:r>
              <a:rPr lang="en-US" cap="none" sz="1000" u="none" baseline="0">
                <a:latin typeface="Arial"/>
                <a:ea typeface="Arial"/>
                <a:cs typeface="Arial"/>
              </a:rPr>
              <a:t> Margin</a:t>
            </a:r>
          </a:p>
        </c:rich>
      </c:tx>
      <c:layout>
        <c:manualLayout>
          <c:xMode val="edge"/>
          <c:yMode val="edge"/>
          <c:x val="0.32925"/>
          <c:y val="0.04575"/>
        </c:manualLayout>
      </c:layout>
      <c:overlay val="0"/>
      <c:spPr>
        <a:noFill/>
        <a:ln>
          <a:noFill/>
        </a:ln>
      </c:spPr>
    </c:title>
    <c:plotArea>
      <c:layout>
        <c:manualLayout>
          <c:layoutTarget val="inner"/>
          <c:xMode val="edge"/>
          <c:yMode val="edge"/>
          <c:x val="0.07375"/>
          <c:y val="0.2335"/>
          <c:w val="0.904"/>
          <c:h val="0.66575"/>
        </c:manualLayout>
      </c:layout>
      <c:barChart>
        <c:barDir val="col"/>
        <c:grouping val="clustered"/>
        <c:varyColors val="0"/>
        <c:ser>
          <c:idx val="0"/>
          <c:order val="0"/>
          <c:tx>
            <c:v>#RIF!</c:v>
          </c:tx>
          <c:spPr>
            <a:solidFill>
              <a:srgbClr val="196FC2"/>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0125"/>
                </c:manualLayout>
              </c:layout>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u="none" baseline="0">
                    <a:latin typeface="Calibri"/>
                    <a:ea typeface="Calibri"/>
                    <a:cs typeface="Calibri"/>
                  </a:defRPr>
                </a:pPr>
              </a:p>
            </c:txPr>
            <c:dLblPos val="outEnd"/>
            <c:showLegendKey val="0"/>
            <c:showVal val="1"/>
            <c:showBubbleSize val="0"/>
            <c:showCatName val="0"/>
            <c:showSerName val="0"/>
            <c:showPercent val="0"/>
          </c:dLbls>
          <c:cat>
            <c:numRef>
              <c:f>'Financial Graphs'!$C$6:$C$10</c:f>
              <c:numCache/>
            </c:numRef>
          </c:cat>
          <c:val>
            <c:numRef>
              <c:f>'Financial Graphs'!$E$12:$E$16</c:f>
              <c:numCache/>
            </c:numRef>
          </c:val>
        </c:ser>
        <c:gapWidth val="60"/>
        <c:axId val="41305971"/>
        <c:axId val="36209420"/>
      </c:barChart>
      <c:catAx>
        <c:axId val="41305971"/>
        <c:scaling>
          <c:orientation val="minMax"/>
        </c:scaling>
        <c:axPos val="b"/>
        <c:delete val="0"/>
        <c:numFmt formatCode="General" sourceLinked="1"/>
        <c:majorTickMark val="out"/>
        <c:minorTickMark val="none"/>
        <c:tickLblPos val="nextTo"/>
        <c:txPr>
          <a:bodyPr/>
          <a:lstStyle/>
          <a:p>
            <a:pPr>
              <a:defRPr lang="en-US" cap="none" sz="700" u="none" baseline="0">
                <a:latin typeface="Arial"/>
                <a:ea typeface="Arial"/>
                <a:cs typeface="Arial"/>
              </a:defRPr>
            </a:pPr>
          </a:p>
        </c:txPr>
        <c:crossAx val="36209420"/>
        <c:crosses val="autoZero"/>
        <c:auto val="1"/>
        <c:lblOffset val="100"/>
        <c:noMultiLvlLbl val="0"/>
      </c:catAx>
      <c:valAx>
        <c:axId val="36209420"/>
        <c:scaling>
          <c:orientation val="minMax"/>
        </c:scaling>
        <c:axPos val="l"/>
        <c:delete val="0"/>
        <c:numFmt formatCode="0%" sourceLinked="0"/>
        <c:majorTickMark val="out"/>
        <c:minorTickMark val="none"/>
        <c:tickLblPos val="nextTo"/>
        <c:txPr>
          <a:bodyPr/>
          <a:lstStyle/>
          <a:p>
            <a:pPr>
              <a:defRPr lang="en-US" cap="none" sz="700" u="none" baseline="0">
                <a:latin typeface="Arial"/>
                <a:ea typeface="Arial"/>
                <a:cs typeface="Arial"/>
              </a:defRPr>
            </a:pPr>
          </a:p>
        </c:txPr>
        <c:crossAx val="41305971"/>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u="none" baseline="0">
                <a:latin typeface="Arial"/>
                <a:ea typeface="Arial"/>
                <a:cs typeface="Arial"/>
              </a:rPr>
              <a:t>Revenues</a:t>
            </a:r>
            <a:r>
              <a:rPr lang="en-US" cap="none" sz="1000" u="none" baseline="0">
                <a:latin typeface="Arial"/>
                <a:ea typeface="Arial"/>
                <a:cs typeface="Arial"/>
              </a:rPr>
              <a:t> </a:t>
            </a:r>
            <a:r>
              <a:rPr lang="en-US" cap="none" sz="1000" u="none" baseline="0">
                <a:latin typeface="Arial"/>
                <a:ea typeface="Arial"/>
                <a:cs typeface="Arial"/>
              </a:rPr>
              <a:t>and EBITDA margin</a:t>
            </a:r>
          </a:p>
        </c:rich>
      </c:tx>
      <c:layout>
        <c:manualLayout>
          <c:xMode val="edge"/>
          <c:yMode val="edge"/>
          <c:x val="0.27475"/>
          <c:y val="0.0385"/>
        </c:manualLayout>
      </c:layout>
      <c:overlay val="0"/>
      <c:spPr>
        <a:noFill/>
        <a:ln>
          <a:noFill/>
        </a:ln>
      </c:spPr>
    </c:title>
    <c:plotArea>
      <c:layout>
        <c:manualLayout>
          <c:layoutTarget val="inner"/>
          <c:xMode val="edge"/>
          <c:yMode val="edge"/>
          <c:x val="0.17525"/>
          <c:y val="0.23875"/>
          <c:w val="0.776"/>
          <c:h val="0.6495"/>
        </c:manualLayout>
      </c:layout>
      <c:barChart>
        <c:barDir val="col"/>
        <c:grouping val="clustered"/>
        <c:varyColors val="0"/>
        <c:ser>
          <c:idx val="0"/>
          <c:order val="0"/>
          <c:tx>
            <c:v>#RIF!</c:v>
          </c:tx>
          <c:spPr>
            <a:solidFill>
              <a:srgbClr val="196FC2"/>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11075"/>
                </c:manualLayout>
              </c:layout>
              <c:dLblPos val="outEnd"/>
              <c:showLegendKey val="0"/>
              <c:showVal val="1"/>
              <c:showBubbleSize val="0"/>
              <c:showCatName val="0"/>
              <c:showSerName val="0"/>
              <c:showPercent val="0"/>
            </c:dLbl>
            <c:dLbl>
              <c:idx val="1"/>
              <c:layout>
                <c:manualLayout>
                  <c:x val="0"/>
                  <c:y val="0.16325"/>
                </c:manualLayout>
              </c:layout>
              <c:dLblPos val="outEnd"/>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u="none" baseline="0">
                    <a:solidFill>
                      <a:schemeClr val="tx1"/>
                    </a:solidFill>
                    <a:latin typeface="Arial"/>
                    <a:ea typeface="Arial"/>
                    <a:cs typeface="Arial"/>
                  </a:defRPr>
                </a:pPr>
              </a:p>
            </c:txPr>
            <c:dLblPos val="ctr"/>
            <c:showLegendKey val="0"/>
            <c:showVal val="1"/>
            <c:showBubbleSize val="0"/>
            <c:showCatName val="0"/>
            <c:showSerName val="0"/>
            <c:showPercent val="0"/>
          </c:dLbls>
          <c:cat>
            <c:numRef>
              <c:f>'Financial Graphs'!$C$6:$C$10</c:f>
              <c:numCache/>
            </c:numRef>
          </c:cat>
          <c:val>
            <c:numRef>
              <c:f>'Financial Graphs'!$E$6:$E$10</c:f>
              <c:numCache/>
            </c:numRef>
          </c:val>
        </c:ser>
        <c:gapWidth val="60"/>
        <c:axId val="57449325"/>
        <c:axId val="47281878"/>
      </c:barChart>
      <c:lineChart>
        <c:grouping val="standard"/>
        <c:varyColors val="0"/>
        <c:ser>
          <c:idx val="3"/>
          <c:order val="1"/>
          <c:tx>
            <c:v>#RIF!</c:v>
          </c:tx>
          <c:spPr>
            <a:ln>
              <a:solidFill>
                <a:schemeClr val="accent1">
                  <a:lumMod val="60000"/>
                  <a:lumOff val="40000"/>
                </a:schemeClr>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chemeClr val="bg1"/>
              </a:solidFill>
              <a:ln>
                <a:solidFill>
                  <a:schemeClr val="accent1">
                    <a:lumMod val="60000"/>
                    <a:lumOff val="40000"/>
                  </a:schemeClr>
                </a:solidFill>
              </a:ln>
            </c:spPr>
          </c:marker>
          <c:dLbls>
            <c:dLbl>
              <c:idx val="0"/>
              <c:layout>
                <c:manualLayout>
                  <c:x val="-0.069"/>
                  <c:y val="-0.0515"/>
                </c:manualLayout>
              </c:layout>
              <c:dLblPos val="r"/>
              <c:showLegendKey val="0"/>
              <c:showVal val="1"/>
              <c:showBubbleSize val="0"/>
              <c:showCatName val="0"/>
              <c:showSerName val="0"/>
              <c:showPercent val="0"/>
            </c:dLbl>
            <c:dLbl>
              <c:idx val="1"/>
              <c:layout>
                <c:manualLayout>
                  <c:x val="-0.069"/>
                  <c:y val="-0.0515"/>
                </c:manualLayout>
              </c:layout>
              <c:dLblPos val="r"/>
              <c:showLegendKey val="0"/>
              <c:showVal val="1"/>
              <c:showBubbleSize val="0"/>
              <c:showCatName val="0"/>
              <c:showSerName val="0"/>
              <c:showPercent val="0"/>
            </c:dLbl>
            <c:dLbl>
              <c:idx val="2"/>
              <c:layout>
                <c:manualLayout>
                  <c:x val="-0.069"/>
                  <c:y val="-0.08125"/>
                </c:manualLayout>
              </c:layout>
              <c:dLblPos val="r"/>
              <c:showLegendKey val="0"/>
              <c:showVal val="1"/>
              <c:showBubbleSize val="0"/>
              <c:showCatName val="0"/>
              <c:showSerName val="0"/>
              <c:showPercent val="0"/>
            </c:dLbl>
            <c:numFmt formatCode="0%" sourceLinked="0"/>
            <c:spPr>
              <a:noFill/>
              <a:ln>
                <a:noFill/>
              </a:ln>
            </c:spPr>
            <c:txPr>
              <a:bodyPr vert="horz" rot="0" anchor="ctr"/>
              <a:lstStyle/>
              <a:p>
                <a:pPr algn="ctr">
                  <a:defRPr lang="en-US" cap="none" sz="700" b="1" u="none" baseline="0">
                    <a:latin typeface="Arial"/>
                    <a:ea typeface="Arial"/>
                    <a:cs typeface="Arial"/>
                  </a:defRPr>
                </a:pPr>
              </a:p>
            </c:txPr>
            <c:dLblPos val="ctr"/>
            <c:showLegendKey val="0"/>
            <c:showVal val="1"/>
            <c:showBubbleSize val="0"/>
            <c:showCatName val="0"/>
            <c:showSerName val="0"/>
            <c:showLeaderLines val="1"/>
            <c:showPercent val="0"/>
          </c:dLbls>
          <c:val>
            <c:numRef>
              <c:f>'Financial Graphs'!$E$12:$E$16</c:f>
              <c:numCache/>
            </c:numRef>
          </c:val>
          <c:smooth val="0"/>
        </c:ser>
        <c:marker val="1"/>
        <c:axId val="22883719"/>
        <c:axId val="4626880"/>
      </c:lineChart>
      <c:catAx>
        <c:axId val="57449325"/>
        <c:scaling>
          <c:orientation val="minMax"/>
        </c:scaling>
        <c:axPos val="b"/>
        <c:delete val="0"/>
        <c:numFmt formatCode="General" sourceLinked="1"/>
        <c:majorTickMark val="out"/>
        <c:minorTickMark val="none"/>
        <c:tickLblPos val="nextTo"/>
        <c:txPr>
          <a:bodyPr/>
          <a:lstStyle/>
          <a:p>
            <a:pPr>
              <a:defRPr lang="en-US" cap="none" sz="700" u="none" baseline="0">
                <a:latin typeface="Arial"/>
                <a:ea typeface="Arial"/>
                <a:cs typeface="Arial"/>
              </a:defRPr>
            </a:pPr>
          </a:p>
        </c:txPr>
        <c:crossAx val="47281878"/>
        <c:crosses val="autoZero"/>
        <c:auto val="1"/>
        <c:lblOffset val="100"/>
        <c:noMultiLvlLbl val="0"/>
      </c:catAx>
      <c:valAx>
        <c:axId val="47281878"/>
        <c:scaling>
          <c:orientation val="minMax"/>
        </c:scaling>
        <c:axPos val="l"/>
        <c:delete val="0"/>
        <c:numFmt formatCode="#,##0\ &quot;€&quot;" sourceLinked="1"/>
        <c:majorTickMark val="out"/>
        <c:minorTickMark val="none"/>
        <c:tickLblPos val="nextTo"/>
        <c:txPr>
          <a:bodyPr/>
          <a:lstStyle/>
          <a:p>
            <a:pPr>
              <a:defRPr lang="en-US" cap="none" sz="700" u="none" baseline="0">
                <a:latin typeface="Arial"/>
                <a:ea typeface="Arial"/>
                <a:cs typeface="Arial"/>
              </a:defRPr>
            </a:pPr>
          </a:p>
        </c:txPr>
        <c:crossAx val="57449325"/>
        <c:crosses val="autoZero"/>
        <c:crossBetween val="between"/>
        <c:dispUnits>
          <c:builtInUnit val="thousands"/>
          <c:dispUnitsLbl>
            <c:layout>
              <c:manualLayout>
                <c:xMode val="edge"/>
                <c:yMode val="edge"/>
                <c:x val="0"/>
                <c:y val="0.23875"/>
              </c:manualLayout>
            </c:layout>
            <c:spPr>
              <a:noFill/>
              <a:ln>
                <a:noFill/>
              </a:ln>
            </c:spPr>
            <c:txPr>
              <a:bodyPr vert="horz" rot="-5400000"/>
              <a:lstStyle/>
              <a:p>
                <a:pPr>
                  <a:defRPr lang="en-US" cap="none" sz="800" b="1" u="none" baseline="0">
                    <a:latin typeface="Calibri"/>
                    <a:ea typeface="Calibri"/>
                    <a:cs typeface="Calibri"/>
                  </a:defRPr>
                </a:pPr>
              </a:p>
            </c:txPr>
          </c:dispUnitsLbl>
        </c:dispUnits>
      </c:valAx>
      <c:catAx>
        <c:axId val="22883719"/>
        <c:scaling>
          <c:orientation val="minMax"/>
        </c:scaling>
        <c:axPos val="b"/>
        <c:delete val="1"/>
        <c:majorTickMark val="out"/>
        <c:minorTickMark val="none"/>
        <c:tickLblPos val="nextTo"/>
        <c:crossAx val="4626880"/>
        <c:crosses val="autoZero"/>
        <c:auto val="1"/>
        <c:lblOffset val="100"/>
        <c:noMultiLvlLbl val="0"/>
      </c:catAx>
      <c:valAx>
        <c:axId val="4626880"/>
        <c:scaling>
          <c:orientation val="minMax"/>
        </c:scaling>
        <c:axPos val="l"/>
        <c:delete val="0"/>
        <c:numFmt formatCode="0%" sourceLinked="0"/>
        <c:majorTickMark val="out"/>
        <c:minorTickMark val="none"/>
        <c:tickLblPos val="nextTo"/>
        <c:txPr>
          <a:bodyPr/>
          <a:lstStyle/>
          <a:p>
            <a:pPr>
              <a:defRPr lang="en-US" cap="none" sz="700" u="none" baseline="0">
                <a:latin typeface="Arial"/>
                <a:ea typeface="Arial"/>
                <a:cs typeface="Arial"/>
              </a:defRPr>
            </a:pPr>
          </a:p>
        </c:txPr>
        <c:crossAx val="22883719"/>
        <c:crosses val="max"/>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285750</xdr:colOff>
      <xdr:row>23</xdr:row>
      <xdr:rowOff>0</xdr:rowOff>
    </xdr:from>
    <xdr:to>
      <xdr:col>21</xdr:col>
      <xdr:colOff>333375</xdr:colOff>
      <xdr:row>23</xdr:row>
      <xdr:rowOff>0</xdr:rowOff>
    </xdr:to>
    <xdr:sp macro="" textlink="">
      <xdr:nvSpPr>
        <xdr:cNvPr id="7" name="CasellaDiTesto 6"/>
        <xdr:cNvSpPr txBox="1"/>
      </xdr:nvSpPr>
      <xdr:spPr>
        <a:xfrm flipV="1">
          <a:off x="14820900" y="4686300"/>
          <a:ext cx="47625" cy="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it-IT" sz="1400"/>
        </a:p>
        <a:p>
          <a:endParaRPr lang="it-IT" sz="1400">
            <a:solidFill>
              <a:schemeClr val="bg1"/>
            </a:solidFill>
          </a:endParaRPr>
        </a:p>
      </xdr:txBody>
    </xdr:sp>
    <xdr:clientData/>
  </xdr:twoCellAnchor>
  <xdr:twoCellAnchor editAs="oneCell">
    <xdr:from>
      <xdr:col>0</xdr:col>
      <xdr:colOff>428625</xdr:colOff>
      <xdr:row>0</xdr:row>
      <xdr:rowOff>28575</xdr:rowOff>
    </xdr:from>
    <xdr:to>
      <xdr:col>3</xdr:col>
      <xdr:colOff>342900</xdr:colOff>
      <xdr:row>5</xdr:row>
      <xdr:rowOff>0</xdr:rowOff>
    </xdr:to>
    <xdr:pic>
      <xdr:nvPicPr>
        <xdr:cNvPr id="4" name="Immagine 3"/>
        <xdr:cNvPicPr preferRelativeResize="1">
          <a:picLocks noChangeAspect="1"/>
        </xdr:cNvPicPr>
      </xdr:nvPicPr>
      <xdr:blipFill>
        <a:blip r:embed="rId1"/>
        <a:stretch>
          <a:fillRect/>
        </a:stretch>
      </xdr:blipFill>
      <xdr:spPr>
        <a:xfrm>
          <a:off x="428625" y="28575"/>
          <a:ext cx="2447925" cy="9715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47625</xdr:rowOff>
    </xdr:from>
    <xdr:to>
      <xdr:col>6</xdr:col>
      <xdr:colOff>552450</xdr:colOff>
      <xdr:row>11</xdr:row>
      <xdr:rowOff>142875</xdr:rowOff>
    </xdr:to>
    <xdr:graphicFrame macro="">
      <xdr:nvGraphicFramePr>
        <xdr:cNvPr id="11" name="Grafico 10"/>
        <xdr:cNvGraphicFramePr/>
      </xdr:nvGraphicFramePr>
      <xdr:xfrm>
        <a:off x="7353300" y="1047750"/>
        <a:ext cx="1981200" cy="12954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5</xdr:row>
      <xdr:rowOff>47625</xdr:rowOff>
    </xdr:from>
    <xdr:to>
      <xdr:col>11</xdr:col>
      <xdr:colOff>552450</xdr:colOff>
      <xdr:row>11</xdr:row>
      <xdr:rowOff>142875</xdr:rowOff>
    </xdr:to>
    <xdr:graphicFrame macro="">
      <xdr:nvGraphicFramePr>
        <xdr:cNvPr id="3" name="Grafico 2"/>
        <xdr:cNvGraphicFramePr/>
      </xdr:nvGraphicFramePr>
      <xdr:xfrm>
        <a:off x="14268450" y="1047750"/>
        <a:ext cx="1981200" cy="12954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5</xdr:row>
      <xdr:rowOff>47625</xdr:rowOff>
    </xdr:from>
    <xdr:to>
      <xdr:col>16</xdr:col>
      <xdr:colOff>552450</xdr:colOff>
      <xdr:row>11</xdr:row>
      <xdr:rowOff>142875</xdr:rowOff>
    </xdr:to>
    <xdr:graphicFrame macro="">
      <xdr:nvGraphicFramePr>
        <xdr:cNvPr id="4" name="Grafico 3"/>
        <xdr:cNvGraphicFramePr/>
      </xdr:nvGraphicFramePr>
      <xdr:xfrm>
        <a:off x="21183600" y="1047750"/>
        <a:ext cx="1981200" cy="1295400"/>
      </xdr:xfrm>
      <a:graphic>
        <a:graphicData uri="http://schemas.openxmlformats.org/drawingml/2006/chart">
          <c:chart xmlns:c="http://schemas.openxmlformats.org/drawingml/2006/chart" r:id="rId3"/>
        </a:graphicData>
      </a:graphic>
    </xdr:graphicFrame>
    <xdr:clientData/>
  </xdr:twoCellAnchor>
  <xdr:twoCellAnchor>
    <xdr:from>
      <xdr:col>20</xdr:col>
      <xdr:colOff>0</xdr:colOff>
      <xdr:row>5</xdr:row>
      <xdr:rowOff>47625</xdr:rowOff>
    </xdr:from>
    <xdr:to>
      <xdr:col>21</xdr:col>
      <xdr:colOff>552450</xdr:colOff>
      <xdr:row>11</xdr:row>
      <xdr:rowOff>142875</xdr:rowOff>
    </xdr:to>
    <xdr:graphicFrame macro="">
      <xdr:nvGraphicFramePr>
        <xdr:cNvPr id="5" name="Grafico 4"/>
        <xdr:cNvGraphicFramePr/>
      </xdr:nvGraphicFramePr>
      <xdr:xfrm>
        <a:off x="28098750" y="1047750"/>
        <a:ext cx="1981200" cy="1295400"/>
      </xdr:xfrm>
      <a:graphic>
        <a:graphicData uri="http://schemas.openxmlformats.org/drawingml/2006/chart">
          <c:chart xmlns:c="http://schemas.openxmlformats.org/drawingml/2006/chart" r:id="rId4"/>
        </a:graphicData>
      </a:graphic>
    </xdr:graphicFrame>
    <xdr:clientData/>
  </xdr:twoCellAnchor>
  <xdr:twoCellAnchor>
    <xdr:from>
      <xdr:col>25</xdr:col>
      <xdr:colOff>0</xdr:colOff>
      <xdr:row>5</xdr:row>
      <xdr:rowOff>47625</xdr:rowOff>
    </xdr:from>
    <xdr:to>
      <xdr:col>26</xdr:col>
      <xdr:colOff>552450</xdr:colOff>
      <xdr:row>11</xdr:row>
      <xdr:rowOff>142875</xdr:rowOff>
    </xdr:to>
    <xdr:graphicFrame macro="">
      <xdr:nvGraphicFramePr>
        <xdr:cNvPr id="6" name="Grafico 5"/>
        <xdr:cNvGraphicFramePr/>
      </xdr:nvGraphicFramePr>
      <xdr:xfrm>
        <a:off x="34556700" y="1047750"/>
        <a:ext cx="1809750" cy="1295400"/>
      </xdr:xfrm>
      <a:graphic>
        <a:graphicData uri="http://schemas.openxmlformats.org/drawingml/2006/chart">
          <c:chart xmlns:c="http://schemas.openxmlformats.org/drawingml/2006/chart" r:id="rId5"/>
        </a:graphicData>
      </a:graphic>
    </xdr:graphicFrame>
    <xdr:clientData/>
  </xdr:twoCellAnchor>
  <xdr:twoCellAnchor>
    <xdr:from>
      <xdr:col>5</xdr:col>
      <xdr:colOff>285750</xdr:colOff>
      <xdr:row>98</xdr:row>
      <xdr:rowOff>47625</xdr:rowOff>
    </xdr:from>
    <xdr:to>
      <xdr:col>8</xdr:col>
      <xdr:colOff>914400</xdr:colOff>
      <xdr:row>111</xdr:row>
      <xdr:rowOff>152400</xdr:rowOff>
    </xdr:to>
    <xdr:graphicFrame macro="">
      <xdr:nvGraphicFramePr>
        <xdr:cNvPr id="2" name="Grafico 1"/>
        <xdr:cNvGraphicFramePr/>
      </xdr:nvGraphicFramePr>
      <xdr:xfrm>
        <a:off x="7639050" y="20012025"/>
        <a:ext cx="4572000" cy="270510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xdr:col>
      <xdr:colOff>247650</xdr:colOff>
      <xdr:row>19</xdr:row>
      <xdr:rowOff>0</xdr:rowOff>
    </xdr:to>
    <xdr:pic>
      <xdr:nvPicPr>
        <xdr:cNvPr id="10" name="Picture 2" descr="/Users/abonabello/Downloads/IMG_4650.JPG"/>
        <xdr:cNvPicPr preferRelativeResize="1">
          <a:picLocks noChangeAspect="1"/>
        </xdr:cNvPicPr>
      </xdr:nvPicPr>
      <xdr:blipFill>
        <a:blip r:embed="rId1">
          <a:extLst>
            <a:ext uri="{28A0092B-C50C-407E-A947-70E740481C1C}">
              <a14:useLocalDpi xmlns:a14="http://schemas.microsoft.com/office/drawing/2010/main" val="0"/>
            </a:ext>
          </a:extLst>
        </a:blip>
        <a:srcRect t="20681" b="20925"/>
        <a:stretch>
          <a:fillRect/>
        </a:stretch>
      </xdr:blipFill>
      <xdr:spPr bwMode="auto">
        <a:xfrm>
          <a:off x="0" y="3952875"/>
          <a:ext cx="323850" cy="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xdr:row>
      <xdr:rowOff>0</xdr:rowOff>
    </xdr:from>
    <xdr:to>
      <xdr:col>1</xdr:col>
      <xdr:colOff>247650</xdr:colOff>
      <xdr:row>19</xdr:row>
      <xdr:rowOff>0</xdr:rowOff>
    </xdr:to>
    <xdr:pic>
      <xdr:nvPicPr>
        <xdr:cNvPr id="11" name="Picture 2" descr="/Users/abonabello/Downloads/IMG_4650.JPG"/>
        <xdr:cNvPicPr preferRelativeResize="1">
          <a:picLocks noChangeAspect="1"/>
        </xdr:cNvPicPr>
      </xdr:nvPicPr>
      <xdr:blipFill>
        <a:blip r:embed="rId1">
          <a:extLst>
            <a:ext uri="{28A0092B-C50C-407E-A947-70E740481C1C}">
              <a14:useLocalDpi xmlns:a14="http://schemas.microsoft.com/office/drawing/2010/main" val="0"/>
            </a:ext>
          </a:extLst>
        </a:blip>
        <a:srcRect t="20681" b="20925"/>
        <a:stretch>
          <a:fillRect/>
        </a:stretch>
      </xdr:blipFill>
      <xdr:spPr bwMode="auto">
        <a:xfrm>
          <a:off x="0" y="3952875"/>
          <a:ext cx="323850" cy="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1400175</xdr:colOff>
      <xdr:row>52</xdr:row>
      <xdr:rowOff>133350</xdr:rowOff>
    </xdr:from>
    <xdr:to>
      <xdr:col>8</xdr:col>
      <xdr:colOff>1943100</xdr:colOff>
      <xdr:row>65</xdr:row>
      <xdr:rowOff>9525</xdr:rowOff>
    </xdr:to>
    <xdr:graphicFrame macro="">
      <xdr:nvGraphicFramePr>
        <xdr:cNvPr id="20" name="Grafico 19"/>
        <xdr:cNvGraphicFramePr/>
      </xdr:nvGraphicFramePr>
      <xdr:xfrm>
        <a:off x="7991475" y="10877550"/>
        <a:ext cx="6505575" cy="2476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666750</xdr:colOff>
      <xdr:row>4</xdr:row>
      <xdr:rowOff>85725</xdr:rowOff>
    </xdr:from>
    <xdr:to>
      <xdr:col>11</xdr:col>
      <xdr:colOff>381000</xdr:colOff>
      <xdr:row>16</xdr:row>
      <xdr:rowOff>85725</xdr:rowOff>
    </xdr:to>
    <xdr:graphicFrame macro="">
      <xdr:nvGraphicFramePr>
        <xdr:cNvPr id="2" name="Grafico 1"/>
        <xdr:cNvGraphicFramePr/>
      </xdr:nvGraphicFramePr>
      <xdr:xfrm>
        <a:off x="4400550" y="847725"/>
        <a:ext cx="3714750" cy="2295525"/>
      </xdr:xfrm>
      <a:graphic>
        <a:graphicData uri="http://schemas.openxmlformats.org/drawingml/2006/chart">
          <c:chart xmlns:c="http://schemas.openxmlformats.org/drawingml/2006/chart" r:id="rId1"/>
        </a:graphicData>
      </a:graphic>
    </xdr:graphicFrame>
    <xdr:clientData/>
  </xdr:twoCellAnchor>
  <xdr:twoCellAnchor>
    <xdr:from>
      <xdr:col>12</xdr:col>
      <xdr:colOff>19050</xdr:colOff>
      <xdr:row>4</xdr:row>
      <xdr:rowOff>76200</xdr:rowOff>
    </xdr:from>
    <xdr:to>
      <xdr:col>17</xdr:col>
      <xdr:colOff>400050</xdr:colOff>
      <xdr:row>16</xdr:row>
      <xdr:rowOff>76200</xdr:rowOff>
    </xdr:to>
    <xdr:graphicFrame macro="">
      <xdr:nvGraphicFramePr>
        <xdr:cNvPr id="3" name="Grafico 2"/>
        <xdr:cNvGraphicFramePr/>
      </xdr:nvGraphicFramePr>
      <xdr:xfrm>
        <a:off x="8420100" y="838200"/>
        <a:ext cx="3714750" cy="2295525"/>
      </xdr:xfrm>
      <a:graphic>
        <a:graphicData uri="http://schemas.openxmlformats.org/drawingml/2006/chart">
          <c:chart xmlns:c="http://schemas.openxmlformats.org/drawingml/2006/chart" r:id="rId2"/>
        </a:graphicData>
      </a:graphic>
    </xdr:graphicFrame>
    <xdr:clientData/>
  </xdr:twoCellAnchor>
  <xdr:twoCellAnchor>
    <xdr:from>
      <xdr:col>5</xdr:col>
      <xdr:colOff>666750</xdr:colOff>
      <xdr:row>18</xdr:row>
      <xdr:rowOff>0</xdr:rowOff>
    </xdr:from>
    <xdr:to>
      <xdr:col>11</xdr:col>
      <xdr:colOff>390525</xdr:colOff>
      <xdr:row>29</xdr:row>
      <xdr:rowOff>38100</xdr:rowOff>
    </xdr:to>
    <xdr:graphicFrame macro="">
      <xdr:nvGraphicFramePr>
        <xdr:cNvPr id="4" name="Grafico 3"/>
        <xdr:cNvGraphicFramePr/>
      </xdr:nvGraphicFramePr>
      <xdr:xfrm>
        <a:off x="4400550" y="3409950"/>
        <a:ext cx="3724275" cy="2143125"/>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18</xdr:row>
      <xdr:rowOff>9525</xdr:rowOff>
    </xdr:from>
    <xdr:to>
      <xdr:col>17</xdr:col>
      <xdr:colOff>390525</xdr:colOff>
      <xdr:row>29</xdr:row>
      <xdr:rowOff>38100</xdr:rowOff>
    </xdr:to>
    <xdr:graphicFrame macro="">
      <xdr:nvGraphicFramePr>
        <xdr:cNvPr id="6" name="Grafico 5"/>
        <xdr:cNvGraphicFramePr/>
      </xdr:nvGraphicFramePr>
      <xdr:xfrm>
        <a:off x="8420100" y="3419475"/>
        <a:ext cx="3705225" cy="2133600"/>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32</xdr:row>
      <xdr:rowOff>19050</xdr:rowOff>
    </xdr:from>
    <xdr:to>
      <xdr:col>11</xdr:col>
      <xdr:colOff>409575</xdr:colOff>
      <xdr:row>47</xdr:row>
      <xdr:rowOff>76200</xdr:rowOff>
    </xdr:to>
    <xdr:graphicFrame macro="">
      <xdr:nvGraphicFramePr>
        <xdr:cNvPr id="7" name="Grafico 6"/>
        <xdr:cNvGraphicFramePr/>
      </xdr:nvGraphicFramePr>
      <xdr:xfrm>
        <a:off x="4410075" y="6105525"/>
        <a:ext cx="3733800" cy="2905125"/>
      </xdr:xfrm>
      <a:graphic>
        <a:graphicData uri="http://schemas.openxmlformats.org/drawingml/2006/chart">
          <c:chart xmlns:c="http://schemas.openxmlformats.org/drawingml/2006/chart" r:id="rId5"/>
        </a:graphicData>
      </a:graphic>
    </xdr:graphicFrame>
    <xdr:clientData/>
  </xdr:twoCellAnchor>
  <xdr:twoCellAnchor>
    <xdr:from>
      <xdr:col>12</xdr:col>
      <xdr:colOff>9525</xdr:colOff>
      <xdr:row>32</xdr:row>
      <xdr:rowOff>19050</xdr:rowOff>
    </xdr:from>
    <xdr:to>
      <xdr:col>17</xdr:col>
      <xdr:colOff>371475</xdr:colOff>
      <xdr:row>47</xdr:row>
      <xdr:rowOff>66675</xdr:rowOff>
    </xdr:to>
    <xdr:graphicFrame macro="">
      <xdr:nvGraphicFramePr>
        <xdr:cNvPr id="9" name="Grafico 8"/>
        <xdr:cNvGraphicFramePr/>
      </xdr:nvGraphicFramePr>
      <xdr:xfrm>
        <a:off x="8410575" y="6105525"/>
        <a:ext cx="3695700" cy="289560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C:\C:\C:\Users\flaviofaraci\Desktop\Business%20Plan%20Ech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oli"/>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Devid Quattrocchi" id="{F841F020-EA43-44FB-983F-AB772741415B}" userId="1d8d70c8e0f8c015" providerId="Windows Live"/>
  <person displayName="Ale Casiraghi" id="{C62DA01F-A042-4998-BE6D-32334A88134E}" userId="8f8d368f55f11c16" providerId="Windows Live"/>
  <person displayName="Andrea Bonabello" id="{AC3D2D96-4190-2141-8DE9-269F6AC04AEE}" userId="9844bf210edf6d4d" providerId="Windows Liv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17" dT="2020-09-10T14:32:07.68" personId="{C62DA01F-A042-4998-BE6D-32334A88134E}" id="{28A1594A-AF82-4FB2-8268-7F422441B8EE}">
    <text>primo mese gratuito per le 50 aziende scelte</text>
  </threadedComment>
  <threadedComment ref="N17" dT="2020-09-10T14:35:09.58" personId="{C62DA01F-A042-4998-BE6D-32334A88134E}" id="{1E6F8BDC-BCF5-4A91-94C1-AD97419BAAB8}">
    <text>primi 3 mesi a prezzo di lancio</text>
  </threadedComment>
  <threadedComment ref="O17" dT="2020-09-10T14:35:15.98" personId="{C62DA01F-A042-4998-BE6D-32334A88134E}" id="{9399D0A9-FB90-4861-80BE-427610678362}">
    <text>primi 3 mesi a prezzo di lancio</text>
  </threadedComment>
  <threadedComment ref="P17" dT="2020-09-10T14:35:22.99" personId="{C62DA01F-A042-4998-BE6D-32334A88134E}" id="{018DA36D-3D99-4C33-B23D-8B6753D6BD6D}">
    <text>primi 3 mesi a prezzo di lancio</text>
  </threadedComment>
  <threadedComment ref="C22" dT="2020-09-04T14:14:00.66" personId="{C62DA01F-A042-4998-BE6D-32334A88134E}" id="{5BB44FA4-2EC1-49C2-BF0D-0481E007C101}">
    <text>E-COMMERCE CPA, STATISTA</text>
  </threadedComment>
  <threadedComment ref="C30" dT="2020-09-04T14:53:12.21" personId="{C62DA01F-A042-4998-BE6D-32334A88134E}" id="{A8CB8B17-504C-4C27-9DC7-6740A7E3A45E}">
    <text>1€ margin on delivery cost</text>
  </threadedComment>
</ThreadedComments>
</file>

<file path=xl/threadedComments/threadedComment2.xml><?xml version="1.0" encoding="utf-8"?>
<ThreadedComments xmlns="http://schemas.microsoft.com/office/spreadsheetml/2018/threadedcomments" xmlns:x="http://schemas.openxmlformats.org/spreadsheetml/2006/main">
  <threadedComment ref="BP6" dT="2019-12-03T13:21:58.77" personId="{F841F020-EA43-44FB-983F-AB772741415B}" id="{C1FEB7EB-4F1A-4697-B560-AC3A8950161D}">
    <text>European-Car-Rental-Market-Overview-and-Structural-Perspectives.pdf</text>
  </threadedComment>
  <threadedComment ref="D12" dT="2019-12-12T10:35:57.44" personId="{F841F020-EA43-44FB-983F-AB772741415B}" id="{74257A0F-8EEF-4177-B1D8-BE177A0AFC00}">
    <text>Cost of production per licensed product sold= 35 €</text>
  </threadedComment>
</ThreadedComments>
</file>

<file path=xl/threadedComments/threadedComment3.xml><?xml version="1.0" encoding="utf-8"?>
<ThreadedComments xmlns="http://schemas.microsoft.com/office/spreadsheetml/2018/threadedcomments" xmlns:x="http://schemas.openxmlformats.org/spreadsheetml/2006/main">
  <threadedComment ref="B18" dT="2020-09-04T13:10:15.58" personId="{C62DA01F-A042-4998-BE6D-32334A88134E}" id="{2E12F3B4-77E5-42D2-B3F2-0CD8E67B0CCF}">
    <text>we assume 10 candidates via Booking Getastand per event</text>
  </threadedComment>
  <threadedComment ref="B18" dT="2020-09-04T13:11:09.71" personId="{C62DA01F-A042-4998-BE6D-32334A88134E}" id="{5AE27F95-751E-4848-ADB2-0F50469485D7}" parentId="{2E12F3B4-77E5-42D2-B3F2-0CD8E67B0CCF}">
    <text>the same candidate may succesfully apply to more than one event</text>
  </threadedComment>
  <threadedComment ref="D156" dT="2020-09-08T09:43:42.36" personId="{C62DA01F-A042-4998-BE6D-32334A88134E}" id="{F418C6C2-F895-4A96-896F-E0DF6EB816CB}">
    <text>Actual HR expense from jan-aug 2020</text>
  </threadedComment>
</ThreadedComments>
</file>

<file path=xl/threadedComments/threadedComment4.xml><?xml version="1.0" encoding="utf-8"?>
<ThreadedComments xmlns="http://schemas.microsoft.com/office/spreadsheetml/2018/threadedcomments" xmlns:x="http://schemas.openxmlformats.org/spreadsheetml/2006/main">
  <threadedComment ref="B9" dT="2020-09-07T10:03:31.68" personId="{C62DA01F-A042-4998-BE6D-32334A88134E}" id="{848A1908-73D9-4DB1-891B-9CF26738E1E4}">
    <text>platform development</text>
  </threadedComment>
  <threadedComment ref="B14" dT="2020-02-19T15:01:32.60" personId="{AC3D2D96-4190-2141-8DE9-269F6AC04AEE}" id="{294214C5-CBA8-3041-BC3B-BB0C93A46D7E}">
    <text>Change “Assumptions” sheet to determine % of R&amp;D for employees</text>
  </threadedComment>
</ThreadedComments>
</file>

<file path=xl/threadedComments/threadedComment5.xml><?xml version="1.0" encoding="utf-8"?>
<ThreadedComments xmlns="http://schemas.microsoft.com/office/spreadsheetml/2018/threadedcomments" xmlns:x="http://schemas.openxmlformats.org/spreadsheetml/2006/main">
  <threadedComment ref="B41" dT="2019-05-02T14:22:47.89" personId="{AC3D2D96-4190-2141-8DE9-269F6AC04AEE}" id="{C02E7BA3-1FE6-1842-B51A-63934605B679}">
    <text>insert here the Revenues and the COGS/Development cost if needed</text>
  </threadedComment>
</ThreadedComments>
</file>

<file path=xl/threadedComments/threadedComment6.xml><?xml version="1.0" encoding="utf-8"?>
<ThreadedComments xmlns="http://schemas.microsoft.com/office/spreadsheetml/2018/threadedcomments" xmlns:x="http://schemas.openxmlformats.org/spreadsheetml/2006/main">
  <threadedComment ref="C49" dT="2019-05-02T14:47:52.27" personId="{AC3D2D96-4190-2141-8DE9-269F6AC04AEE}" id="{4AC9E691-8992-A74F-BA62-E2217C19A344}">
    <text>match this number with the initial moment of the debt repayment</text>
  </threadedComment>
  <threadedComment ref="C71" dT="2019-05-02T14:48:06.41" personId="{AC3D2D96-4190-2141-8DE9-269F6AC04AEE}" id="{D6538610-6148-DF42-A164-70820497FD0B}">
    <text>match this number with the initial moment of the debt repayment</text>
  </threadedComment>
  <threadedComment ref="C93" dT="2019-05-02T14:48:12.71" personId="{AC3D2D96-4190-2141-8DE9-269F6AC04AEE}" id="{DB38B89D-FCEA-E74E-8377-9EE98D3834BA}">
    <text>match this number with the initial moment of the debt repayment</text>
  </threadedComment>
  <threadedComment ref="C115" dT="2019-05-02T14:48:19.11" personId="{AC3D2D96-4190-2141-8DE9-269F6AC04AEE}" id="{7E215C75-6876-1F41-99B8-640B2B239D01}">
    <text>match this number with the initial moment of the debt repayment</text>
  </threadedComment>
  <threadedComment ref="C137" dT="2019-05-02T14:48:27.09" personId="{AC3D2D96-4190-2141-8DE9-269F6AC04AEE}" id="{DAD11EC0-2C9E-EA41-BCD5-077CFEE1794B}">
    <text>match this number with the initial moment of the debt repayment</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3" Type="http://schemas.microsoft.com/office/2017/10/relationships/threadedComment" Target="../threadedComments/threadedComment6.xml" /><Relationship Id="rId1" Type="http://schemas.openxmlformats.org/officeDocument/2006/relationships/comments" Target="../comments11.xm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hyperlink" Target="https://www.bizplace.it/wp-content/uploads/2018/11/The-BizPlace-valuation-model-.x77896.pdf" TargetMode="External" /><Relationship Id="rId2" Type="http://schemas.openxmlformats.org/officeDocument/2006/relationships/hyperlink" Target="http://www.eif.org/news_centre/publications/eif_wp_41.pdf" TargetMode="External" /><Relationship Id="rId3" Type="http://schemas.openxmlformats.org/officeDocument/2006/relationships/hyperlink" Target="https://www.opstart.it/progetto/equiticket/" TargetMode="External" /><Relationship Id="rId4" Type="http://schemas.openxmlformats.org/officeDocument/2006/relationships/hyperlink" Target="https://www.opstart.it/progetto/japal/" TargetMode="External" /><Relationship Id="rId5" Type="http://schemas.openxmlformats.org/officeDocument/2006/relationships/hyperlink" Target="https://www.wearestarting.it/offering/0brand" TargetMode="External" /><Relationship Id="rId6" Type="http://schemas.openxmlformats.org/officeDocument/2006/relationships/hyperlink" Target="https://www.backtowork24.com/online-campaign.php?c=72-rd24" TargetMode="External" /><Relationship Id="rId7" Type="http://schemas.openxmlformats.org/officeDocument/2006/relationships/comments" Target="../comments14.xml" /><Relationship Id="rId8" Type="http://schemas.openxmlformats.org/officeDocument/2006/relationships/vmlDrawing" Target="../drawings/vmlDrawing8.vml" /><Relationship Id="rId9" Type="http://schemas.openxmlformats.org/officeDocument/2006/relationships/drawing" Target="../drawings/drawing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4" Type="http://schemas.microsoft.com/office/2017/10/relationships/threadedComment" Target="../threadedComments/threadedComment2.xml" /><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3" Type="http://schemas.microsoft.com/office/2017/10/relationships/threadedComment" Target="../threadedComments/threadedComment3.xml" /><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3" Type="http://schemas.microsoft.com/office/2017/10/relationships/threadedComment" Target="../threadedComments/threadedComment4.xml" /><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4" Type="http://schemas.microsoft.com/office/2017/10/relationships/threadedComment" Target="../threadedComments/threadedComment5.xml" /><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V36"/>
  <sheetViews>
    <sheetView showGridLines="0" tabSelected="1" zoomScale="69" zoomScaleNormal="69" workbookViewId="0" topLeftCell="A1">
      <selection activeCell="G33" sqref="G33"/>
    </sheetView>
  </sheetViews>
  <sheetFormatPr defaultColWidth="8.75390625" defaultRowHeight="15.75"/>
  <cols>
    <col min="1" max="1" width="8.75390625" style="58" customWidth="1"/>
    <col min="2" max="2" width="15.75390625" style="58" bestFit="1" customWidth="1"/>
    <col min="3" max="21" width="8.75390625" style="58" customWidth="1"/>
    <col min="22" max="22" width="12.25390625" style="58" bestFit="1" customWidth="1"/>
    <col min="23" max="16384" width="8.75390625" style="58" customWidth="1"/>
  </cols>
  <sheetData>
    <row r="1" ht="15.75"/>
    <row r="2" ht="15.75"/>
    <row r="3" ht="15.75"/>
    <row r="4" ht="15.75"/>
    <row r="5" ht="15.75">
      <c r="J5" s="57"/>
    </row>
    <row r="6" spans="2:6" ht="15.75">
      <c r="B6" s="57" t="s">
        <v>26</v>
      </c>
      <c r="F6" s="57" t="s">
        <v>57</v>
      </c>
    </row>
    <row r="7" spans="2:21" ht="16.05" customHeight="1">
      <c r="B7" s="394" t="s">
        <v>36</v>
      </c>
      <c r="F7" s="1489" t="s">
        <v>519</v>
      </c>
      <c r="G7" s="1489"/>
      <c r="H7" s="1489"/>
      <c r="I7" s="1489"/>
      <c r="J7" s="1489"/>
      <c r="K7" s="1489"/>
      <c r="L7" s="1489"/>
      <c r="M7" s="1489"/>
      <c r="N7" s="1489"/>
      <c r="O7" s="1489"/>
      <c r="P7" s="1489"/>
      <c r="Q7" s="1489"/>
      <c r="R7" s="1489"/>
      <c r="S7" s="1489"/>
      <c r="T7" s="134"/>
      <c r="U7" s="134"/>
    </row>
    <row r="8" spans="2:21" ht="16.05" customHeight="1">
      <c r="B8" s="394" t="s">
        <v>325</v>
      </c>
      <c r="F8" s="1489"/>
      <c r="G8" s="1489"/>
      <c r="H8" s="1489"/>
      <c r="I8" s="1489"/>
      <c r="J8" s="1489"/>
      <c r="K8" s="1489"/>
      <c r="L8" s="1489"/>
      <c r="M8" s="1489"/>
      <c r="N8" s="1489"/>
      <c r="O8" s="1489"/>
      <c r="P8" s="1489"/>
      <c r="Q8" s="1489"/>
      <c r="R8" s="1489"/>
      <c r="S8" s="1489"/>
      <c r="T8" s="134"/>
      <c r="U8" s="134"/>
    </row>
    <row r="9" spans="2:21" ht="15.75">
      <c r="B9" s="394" t="s">
        <v>217</v>
      </c>
      <c r="F9" s="1489"/>
      <c r="G9" s="1489"/>
      <c r="H9" s="1489"/>
      <c r="I9" s="1489"/>
      <c r="J9" s="1489"/>
      <c r="K9" s="1489"/>
      <c r="L9" s="1489"/>
      <c r="M9" s="1489"/>
      <c r="N9" s="1489"/>
      <c r="O9" s="1489"/>
      <c r="P9" s="1489"/>
      <c r="Q9" s="1489"/>
      <c r="R9" s="1489"/>
      <c r="S9" s="1489"/>
      <c r="T9" s="134"/>
      <c r="U9" s="134"/>
    </row>
    <row r="10" spans="2:21" ht="15.75">
      <c r="B10" s="394" t="s">
        <v>218</v>
      </c>
      <c r="F10" s="1489"/>
      <c r="G10" s="1489"/>
      <c r="H10" s="1489"/>
      <c r="I10" s="1489"/>
      <c r="J10" s="1489"/>
      <c r="K10" s="1489"/>
      <c r="L10" s="1489"/>
      <c r="M10" s="1489"/>
      <c r="N10" s="1489"/>
      <c r="O10" s="1489"/>
      <c r="P10" s="1489"/>
      <c r="Q10" s="1489"/>
      <c r="R10" s="1489"/>
      <c r="S10" s="1489"/>
      <c r="T10" s="134"/>
      <c r="U10" s="134"/>
    </row>
    <row r="11" spans="2:21" ht="15.75">
      <c r="B11" s="394" t="s">
        <v>219</v>
      </c>
      <c r="F11" s="1489"/>
      <c r="G11" s="1489"/>
      <c r="H11" s="1489"/>
      <c r="I11" s="1489"/>
      <c r="J11" s="1489"/>
      <c r="K11" s="1489"/>
      <c r="L11" s="1489"/>
      <c r="M11" s="1489"/>
      <c r="N11" s="1489"/>
      <c r="O11" s="1489"/>
      <c r="P11" s="1489"/>
      <c r="Q11" s="1489"/>
      <c r="R11" s="1489"/>
      <c r="S11" s="1489"/>
      <c r="T11" s="134"/>
      <c r="U11" s="134"/>
    </row>
    <row r="12" spans="2:21" ht="15.75">
      <c r="B12" s="394" t="s">
        <v>220</v>
      </c>
      <c r="F12" s="1489"/>
      <c r="G12" s="1489"/>
      <c r="H12" s="1489"/>
      <c r="I12" s="1489"/>
      <c r="J12" s="1489"/>
      <c r="K12" s="1489"/>
      <c r="L12" s="1489"/>
      <c r="M12" s="1489"/>
      <c r="N12" s="1489"/>
      <c r="O12" s="1489"/>
      <c r="P12" s="1489"/>
      <c r="Q12" s="1489"/>
      <c r="R12" s="1489"/>
      <c r="S12" s="1489"/>
      <c r="T12" s="134"/>
      <c r="U12" s="134"/>
    </row>
    <row r="13" spans="2:21" ht="15.75">
      <c r="B13" s="394" t="s">
        <v>221</v>
      </c>
      <c r="F13" s="1489"/>
      <c r="G13" s="1489"/>
      <c r="H13" s="1489"/>
      <c r="I13" s="1489"/>
      <c r="J13" s="1489"/>
      <c r="K13" s="1489"/>
      <c r="L13" s="1489"/>
      <c r="M13" s="1489"/>
      <c r="N13" s="1489"/>
      <c r="O13" s="1489"/>
      <c r="P13" s="1489"/>
      <c r="Q13" s="1489"/>
      <c r="R13" s="1489"/>
      <c r="S13" s="1489"/>
      <c r="T13" s="134"/>
      <c r="U13" s="134"/>
    </row>
    <row r="14" spans="2:21" ht="15.75">
      <c r="B14" s="394" t="s">
        <v>222</v>
      </c>
      <c r="F14" s="1489"/>
      <c r="G14" s="1489"/>
      <c r="H14" s="1489"/>
      <c r="I14" s="1489"/>
      <c r="J14" s="1489"/>
      <c r="K14" s="1489"/>
      <c r="L14" s="1489"/>
      <c r="M14" s="1489"/>
      <c r="N14" s="1489"/>
      <c r="O14" s="1489"/>
      <c r="P14" s="1489"/>
      <c r="Q14" s="1489"/>
      <c r="R14" s="1489"/>
      <c r="S14" s="1489"/>
      <c r="T14" s="134"/>
      <c r="U14" s="134"/>
    </row>
    <row r="15" spans="2:21" ht="15.75">
      <c r="B15" s="394" t="s">
        <v>223</v>
      </c>
      <c r="F15" s="1489"/>
      <c r="G15" s="1489"/>
      <c r="H15" s="1489"/>
      <c r="I15" s="1489"/>
      <c r="J15" s="1489"/>
      <c r="K15" s="1489"/>
      <c r="L15" s="1489"/>
      <c r="M15" s="1489"/>
      <c r="N15" s="1489"/>
      <c r="O15" s="1489"/>
      <c r="P15" s="1489"/>
      <c r="Q15" s="1489"/>
      <c r="R15" s="1489"/>
      <c r="S15" s="1489"/>
      <c r="T15" s="134"/>
      <c r="U15" s="134"/>
    </row>
    <row r="16" spans="2:21" ht="15.75">
      <c r="B16" s="394" t="s">
        <v>224</v>
      </c>
      <c r="F16" s="1489"/>
      <c r="G16" s="1489"/>
      <c r="H16" s="1489"/>
      <c r="I16" s="1489"/>
      <c r="J16" s="1489"/>
      <c r="K16" s="1489"/>
      <c r="L16" s="1489"/>
      <c r="M16" s="1489"/>
      <c r="N16" s="1489"/>
      <c r="O16" s="1489"/>
      <c r="P16" s="1489"/>
      <c r="Q16" s="1489"/>
      <c r="R16" s="1489"/>
      <c r="S16" s="1489"/>
      <c r="T16" s="134"/>
      <c r="U16" s="134"/>
    </row>
    <row r="17" spans="2:21" ht="15.75">
      <c r="B17" s="394" t="s">
        <v>225</v>
      </c>
      <c r="C17" s="394"/>
      <c r="F17" s="1489"/>
      <c r="G17" s="1489"/>
      <c r="H17" s="1489"/>
      <c r="I17" s="1489"/>
      <c r="J17" s="1489"/>
      <c r="K17" s="1489"/>
      <c r="L17" s="1489"/>
      <c r="M17" s="1489"/>
      <c r="N17" s="1489"/>
      <c r="O17" s="1489"/>
      <c r="P17" s="1489"/>
      <c r="Q17" s="1489"/>
      <c r="R17" s="1489"/>
      <c r="S17" s="1489"/>
      <c r="T17" s="134"/>
      <c r="U17" s="134"/>
    </row>
    <row r="18" spans="2:21" ht="15.75">
      <c r="B18" s="394" t="s">
        <v>255</v>
      </c>
      <c r="F18" s="1489"/>
      <c r="G18" s="1489"/>
      <c r="H18" s="1489"/>
      <c r="I18" s="1489"/>
      <c r="J18" s="1489"/>
      <c r="K18" s="1489"/>
      <c r="L18" s="1489"/>
      <c r="M18" s="1489"/>
      <c r="N18" s="1489"/>
      <c r="O18" s="1489"/>
      <c r="P18" s="1489"/>
      <c r="Q18" s="1489"/>
      <c r="R18" s="1489"/>
      <c r="S18" s="1489"/>
      <c r="T18" s="134"/>
      <c r="U18" s="134"/>
    </row>
    <row r="19" spans="2:21" ht="15.75">
      <c r="B19" s="394" t="s">
        <v>254</v>
      </c>
      <c r="F19" s="1489"/>
      <c r="G19" s="1489"/>
      <c r="H19" s="1489"/>
      <c r="I19" s="1489"/>
      <c r="J19" s="1489"/>
      <c r="K19" s="1489"/>
      <c r="L19" s="1489"/>
      <c r="M19" s="1489"/>
      <c r="N19" s="1489"/>
      <c r="O19" s="1489"/>
      <c r="P19" s="1489"/>
      <c r="Q19" s="1489"/>
      <c r="R19" s="1489"/>
      <c r="S19" s="1489"/>
      <c r="T19" s="134"/>
      <c r="U19" s="134"/>
    </row>
    <row r="20" spans="6:21" ht="15.75">
      <c r="F20" s="1489"/>
      <c r="G20" s="1489"/>
      <c r="H20" s="1489"/>
      <c r="I20" s="1489"/>
      <c r="J20" s="1489"/>
      <c r="K20" s="1489"/>
      <c r="L20" s="1489"/>
      <c r="M20" s="1489"/>
      <c r="N20" s="1489"/>
      <c r="O20" s="1489"/>
      <c r="P20" s="1489"/>
      <c r="Q20" s="1489"/>
      <c r="R20" s="1489"/>
      <c r="S20" s="1489"/>
      <c r="T20" s="134"/>
      <c r="U20" s="134"/>
    </row>
    <row r="21" spans="6:21" ht="15.75">
      <c r="F21" s="134"/>
      <c r="G21" s="134"/>
      <c r="H21" s="134"/>
      <c r="I21" s="134"/>
      <c r="J21" s="134"/>
      <c r="K21" s="134"/>
      <c r="L21" s="134"/>
      <c r="M21" s="134"/>
      <c r="N21" s="134"/>
      <c r="O21" s="134"/>
      <c r="P21" s="134"/>
      <c r="Q21" s="134"/>
      <c r="R21" s="134"/>
      <c r="S21" s="134"/>
      <c r="T21" s="134"/>
      <c r="U21" s="134"/>
    </row>
    <row r="22" spans="6:21" ht="15.75">
      <c r="F22" s="134"/>
      <c r="G22" s="134"/>
      <c r="H22" s="134"/>
      <c r="I22" s="134"/>
      <c r="J22" s="134"/>
      <c r="K22" s="134"/>
      <c r="L22" s="134"/>
      <c r="M22" s="134"/>
      <c r="N22" s="134"/>
      <c r="O22" s="134"/>
      <c r="P22" s="134"/>
      <c r="Q22" s="134"/>
      <c r="R22" s="134"/>
      <c r="S22" s="134"/>
      <c r="T22" s="134"/>
      <c r="U22" s="134"/>
    </row>
    <row r="23" s="466" customFormat="1" ht="22.95" customHeight="1">
      <c r="F23" s="467" t="s">
        <v>159</v>
      </c>
    </row>
    <row r="24" spans="6:19" ht="16.05" customHeight="1">
      <c r="F24" s="1489" t="s">
        <v>518</v>
      </c>
      <c r="G24" s="1489"/>
      <c r="H24" s="1489"/>
      <c r="I24" s="1489"/>
      <c r="J24" s="1489"/>
      <c r="K24" s="1489"/>
      <c r="L24" s="1489"/>
      <c r="M24" s="1489"/>
      <c r="N24" s="1489"/>
      <c r="O24" s="1489"/>
      <c r="P24" s="1489"/>
      <c r="Q24" s="1489"/>
      <c r="R24" s="1489"/>
      <c r="S24" s="1489"/>
    </row>
    <row r="25" spans="6:19" ht="15.75">
      <c r="F25" s="1489"/>
      <c r="G25" s="1489"/>
      <c r="H25" s="1489"/>
      <c r="I25" s="1489"/>
      <c r="J25" s="1489"/>
      <c r="K25" s="1489"/>
      <c r="L25" s="1489"/>
      <c r="M25" s="1489"/>
      <c r="N25" s="1489"/>
      <c r="O25" s="1489"/>
      <c r="P25" s="1489"/>
      <c r="Q25" s="1489"/>
      <c r="R25" s="1489"/>
      <c r="S25" s="1489"/>
    </row>
    <row r="26" spans="6:19" ht="15.75">
      <c r="F26" s="1489"/>
      <c r="G26" s="1489"/>
      <c r="H26" s="1489"/>
      <c r="I26" s="1489"/>
      <c r="J26" s="1489"/>
      <c r="K26" s="1489"/>
      <c r="L26" s="1489"/>
      <c r="M26" s="1489"/>
      <c r="N26" s="1489"/>
      <c r="O26" s="1489"/>
      <c r="P26" s="1489"/>
      <c r="Q26" s="1489"/>
      <c r="R26" s="1489"/>
      <c r="S26" s="1489"/>
    </row>
    <row r="27" spans="6:19" ht="15.75">
      <c r="F27" s="1489"/>
      <c r="G27" s="1489"/>
      <c r="H27" s="1489"/>
      <c r="I27" s="1489"/>
      <c r="J27" s="1489"/>
      <c r="K27" s="1489"/>
      <c r="L27" s="1489"/>
      <c r="M27" s="1489"/>
      <c r="N27" s="1489"/>
      <c r="O27" s="1489"/>
      <c r="P27" s="1489"/>
      <c r="Q27" s="1489"/>
      <c r="R27" s="1489"/>
      <c r="S27" s="1489"/>
    </row>
    <row r="28" spans="6:22" ht="15.75">
      <c r="F28" s="1489"/>
      <c r="G28" s="1489"/>
      <c r="H28" s="1489"/>
      <c r="I28" s="1489"/>
      <c r="J28" s="1489"/>
      <c r="K28" s="1489"/>
      <c r="L28" s="1489"/>
      <c r="M28" s="1489"/>
      <c r="N28" s="1489"/>
      <c r="O28" s="1489"/>
      <c r="P28" s="1489"/>
      <c r="Q28" s="1489"/>
      <c r="R28" s="1489"/>
      <c r="S28" s="1489"/>
      <c r="V28" s="255"/>
    </row>
    <row r="29" spans="6:19" ht="15.75">
      <c r="F29" s="1489"/>
      <c r="G29" s="1489"/>
      <c r="H29" s="1489"/>
      <c r="I29" s="1489"/>
      <c r="J29" s="1489"/>
      <c r="K29" s="1489"/>
      <c r="L29" s="1489"/>
      <c r="M29" s="1489"/>
      <c r="N29" s="1489"/>
      <c r="O29" s="1489"/>
      <c r="P29" s="1489"/>
      <c r="Q29" s="1489"/>
      <c r="R29" s="1489"/>
      <c r="S29" s="1489"/>
    </row>
    <row r="30" spans="6:19" ht="15.75">
      <c r="F30" s="1489"/>
      <c r="G30" s="1489"/>
      <c r="H30" s="1489"/>
      <c r="I30" s="1489"/>
      <c r="J30" s="1489"/>
      <c r="K30" s="1489"/>
      <c r="L30" s="1489"/>
      <c r="M30" s="1489"/>
      <c r="N30" s="1489"/>
      <c r="O30" s="1489"/>
      <c r="P30" s="1489"/>
      <c r="Q30" s="1489"/>
      <c r="R30" s="1489"/>
      <c r="S30" s="1489"/>
    </row>
    <row r="31" spans="6:19" ht="15.75">
      <c r="F31" s="1489"/>
      <c r="G31" s="1489"/>
      <c r="H31" s="1489"/>
      <c r="I31" s="1489"/>
      <c r="J31" s="1489"/>
      <c r="K31" s="1489"/>
      <c r="L31" s="1489"/>
      <c r="M31" s="1489"/>
      <c r="N31" s="1489"/>
      <c r="O31" s="1489"/>
      <c r="P31" s="1489"/>
      <c r="Q31" s="1489"/>
      <c r="R31" s="1489"/>
      <c r="S31" s="1489"/>
    </row>
    <row r="32" spans="6:19" ht="15.75">
      <c r="F32" s="1489"/>
      <c r="G32" s="1489"/>
      <c r="H32" s="1489"/>
      <c r="I32" s="1489"/>
      <c r="J32" s="1489"/>
      <c r="K32" s="1489"/>
      <c r="L32" s="1489"/>
      <c r="M32" s="1489"/>
      <c r="N32" s="1489"/>
      <c r="O32" s="1489"/>
      <c r="P32" s="1489"/>
      <c r="Q32" s="1489"/>
      <c r="R32" s="1489"/>
      <c r="S32" s="1489"/>
    </row>
    <row r="33" spans="6:19" ht="15.75">
      <c r="F33" s="134"/>
      <c r="G33" s="134"/>
      <c r="H33" s="134"/>
      <c r="I33" s="134"/>
      <c r="J33" s="134"/>
      <c r="K33" s="134"/>
      <c r="L33" s="134"/>
      <c r="M33" s="134"/>
      <c r="N33" s="134"/>
      <c r="O33" s="134"/>
      <c r="P33" s="134"/>
      <c r="Q33" s="134"/>
      <c r="R33" s="134"/>
      <c r="S33" s="134"/>
    </row>
    <row r="34" spans="6:19" ht="15.75">
      <c r="F34" s="134"/>
      <c r="G34" s="134"/>
      <c r="H34" s="134"/>
      <c r="I34" s="134"/>
      <c r="J34" s="134"/>
      <c r="K34" s="134"/>
      <c r="L34" s="134"/>
      <c r="M34" s="134"/>
      <c r="N34" s="134"/>
      <c r="O34" s="134"/>
      <c r="P34" s="134"/>
      <c r="Q34" s="134"/>
      <c r="R34" s="134"/>
      <c r="S34" s="134"/>
    </row>
    <row r="35" spans="6:19" ht="15.75">
      <c r="F35" s="134"/>
      <c r="G35" s="134"/>
      <c r="H35" s="134"/>
      <c r="I35" s="134"/>
      <c r="J35" s="134"/>
      <c r="K35" s="134"/>
      <c r="L35" s="134"/>
      <c r="M35" s="134"/>
      <c r="N35" s="134"/>
      <c r="O35" s="134"/>
      <c r="P35" s="134"/>
      <c r="Q35" s="134"/>
      <c r="R35" s="134"/>
      <c r="S35" s="134"/>
    </row>
    <row r="36" spans="6:19" ht="15.75">
      <c r="F36" s="134"/>
      <c r="G36" s="134"/>
      <c r="H36" s="134"/>
      <c r="I36" s="134"/>
      <c r="J36" s="134"/>
      <c r="K36" s="134"/>
      <c r="L36" s="134"/>
      <c r="M36" s="134"/>
      <c r="N36" s="134"/>
      <c r="O36" s="134"/>
      <c r="P36" s="134"/>
      <c r="Q36" s="134"/>
      <c r="R36" s="134"/>
      <c r="S36" s="134"/>
    </row>
  </sheetData>
  <sheetProtection algorithmName="SHA-512" hashValue="ZXh+eeeskwy/LYCyqRrEutZ3yJLbAF37rqg2itVKFu+cvcmxy2FSHdWP0UB5c9+CLRW7d4Erg8X8EcRUgi/mgA==" saltValue="Iml1XWSeA0FvGFgqy+ydww==" spinCount="100000" sheet="1" objects="1" scenarios="1"/>
  <mergeCells count="2">
    <mergeCell ref="F7:S20"/>
    <mergeCell ref="F24:S32"/>
  </mergeCells>
  <hyperlinks>
    <hyperlink ref="B14" location="'VAT Tax Treatment'!A1" display="7) VAT Tax Treatment"/>
    <hyperlink ref="B11" location="'Cash Flow Statement'!A1" display="4) Cash Flow Statement"/>
    <hyperlink ref="B10" location="'Income Statement'!A1" display="3) Income Statement"/>
    <hyperlink ref="B7" location="Dashboard!A1" display="1) Dashboard"/>
    <hyperlink ref="B15" location="'Debt amortization'!A1" display="8) Debt Amortization"/>
    <hyperlink ref="B9" location="Assumptions!A1" display="2) Assumptions"/>
    <hyperlink ref="B12" location="'D&amp;A'!A1" display="5) D&amp;A"/>
    <hyperlink ref="B13" location="WC!A1" display="6) WC"/>
    <hyperlink ref="B16" location="' HR Breakdown'!A1" display="9) HR Breakdown"/>
    <hyperlink ref="B18" location="Valuation!A1" display="12) Valuation"/>
    <hyperlink ref="B17" location="'Balance Sheet'!A1" display="11) Balance Sheet (ITA)"/>
    <hyperlink ref="B8" location="'Revenue Breakdown'!A1" display="2) Revenue Breakdown"/>
    <hyperlink ref="B19" location="'Financial Graphs'!A1" display="13) Financial Graphs"/>
  </hyperlinks>
  <printOptions/>
  <pageMargins left="0.7" right="0.7" top="0.75" bottom="0.75" header="0.3" footer="0.3"/>
  <pageSetup horizontalDpi="600" verticalDpi="600" orientation="portrait" paperSize="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M45"/>
  <sheetViews>
    <sheetView zoomScale="56" zoomScaleNormal="56" zoomScalePageLayoutView="150" workbookViewId="0" topLeftCell="A1">
      <pane xSplit="2" topLeftCell="C1" activePane="topRight" state="frozen"/>
      <selection pane="topRight" activeCell="C20" sqref="C20:E21"/>
    </sheetView>
  </sheetViews>
  <sheetFormatPr defaultColWidth="10.75390625" defaultRowHeight="15.75"/>
  <cols>
    <col min="1" max="1" width="10.75390625" style="2" customWidth="1"/>
    <col min="2" max="2" width="45.25390625" style="2" customWidth="1"/>
    <col min="3" max="52" width="12.25390625" style="2" customWidth="1"/>
    <col min="53" max="53" width="12.75390625" style="2" customWidth="1"/>
    <col min="54" max="64" width="12.25390625" style="2" customWidth="1"/>
    <col min="65" max="65" width="12.75390625" style="2" customWidth="1"/>
    <col min="66" max="67" width="12.25390625" style="2" customWidth="1"/>
    <col min="68" max="16384" width="10.75390625" style="2" customWidth="1"/>
  </cols>
  <sheetData>
    <row r="1" ht="27" customHeight="1"/>
    <row r="2" spans="2:4" ht="15.75">
      <c r="B2" s="5" t="s">
        <v>160</v>
      </c>
      <c r="C2" s="5"/>
      <c r="D2" s="5"/>
    </row>
    <row r="3" spans="2:10" ht="16.2" thickBot="1">
      <c r="B3" s="5"/>
      <c r="C3" s="5"/>
      <c r="D3" s="5"/>
      <c r="E3" s="91"/>
      <c r="J3" s="218"/>
    </row>
    <row r="4" spans="1:10" ht="24" customHeight="1" thickBot="1">
      <c r="A4" s="91"/>
      <c r="B4" s="525" t="s">
        <v>184</v>
      </c>
      <c r="C4" s="725">
        <v>0.1</v>
      </c>
      <c r="D4" s="219"/>
      <c r="F4" s="384"/>
      <c r="J4" s="216"/>
    </row>
    <row r="5" spans="2:4" s="101" customFormat="1" ht="24" customHeight="1" thickBot="1">
      <c r="B5" s="102" t="s">
        <v>185</v>
      </c>
      <c r="C5" s="726">
        <v>0.22</v>
      </c>
      <c r="D5" s="219"/>
    </row>
    <row r="6" spans="2:10" s="101" customFormat="1" ht="25.05" customHeight="1" thickBot="1">
      <c r="B6" s="214"/>
      <c r="C6" s="214"/>
      <c r="D6" s="214"/>
      <c r="E6" s="219"/>
      <c r="H6" s="2"/>
      <c r="I6" s="2"/>
      <c r="J6" s="217"/>
    </row>
    <row r="7" spans="2:65" s="101" customFormat="1" ht="25.05" customHeight="1" thickBot="1">
      <c r="B7" s="1625" t="s">
        <v>245</v>
      </c>
      <c r="C7" s="1619">
        <f>+Assumptions!C3</f>
        <v>2019</v>
      </c>
      <c r="D7" s="1620"/>
      <c r="E7" s="1621"/>
      <c r="F7" s="1619">
        <f>1+C7</f>
        <v>2020</v>
      </c>
      <c r="G7" s="1620"/>
      <c r="H7" s="1620"/>
      <c r="I7" s="1620"/>
      <c r="J7" s="1620"/>
      <c r="K7" s="1620"/>
      <c r="L7" s="1620"/>
      <c r="M7" s="1620"/>
      <c r="N7" s="1620"/>
      <c r="O7" s="1620"/>
      <c r="P7" s="1620"/>
      <c r="Q7" s="1621"/>
      <c r="R7" s="1619">
        <f>1+F7</f>
        <v>2021</v>
      </c>
      <c r="S7" s="1620"/>
      <c r="T7" s="1620"/>
      <c r="U7" s="1620"/>
      <c r="V7" s="1620"/>
      <c r="W7" s="1620"/>
      <c r="X7" s="1620"/>
      <c r="Y7" s="1620"/>
      <c r="Z7" s="1620"/>
      <c r="AA7" s="1620"/>
      <c r="AB7" s="1620"/>
      <c r="AC7" s="1621"/>
      <c r="AD7" s="1619">
        <f>1+R7</f>
        <v>2022</v>
      </c>
      <c r="AE7" s="1620"/>
      <c r="AF7" s="1620"/>
      <c r="AG7" s="1620"/>
      <c r="AH7" s="1620"/>
      <c r="AI7" s="1620"/>
      <c r="AJ7" s="1620"/>
      <c r="AK7" s="1620"/>
      <c r="AL7" s="1620"/>
      <c r="AM7" s="1620"/>
      <c r="AN7" s="1620"/>
      <c r="AO7" s="1621"/>
      <c r="AP7" s="1619">
        <f>1+AD7</f>
        <v>2023</v>
      </c>
      <c r="AQ7" s="1620"/>
      <c r="AR7" s="1620"/>
      <c r="AS7" s="1620"/>
      <c r="AT7" s="1620"/>
      <c r="AU7" s="1620"/>
      <c r="AV7" s="1620"/>
      <c r="AW7" s="1620"/>
      <c r="AX7" s="1620"/>
      <c r="AY7" s="1620"/>
      <c r="AZ7" s="1620"/>
      <c r="BA7" s="1621"/>
      <c r="BB7" s="1619">
        <f>1+AP7</f>
        <v>2024</v>
      </c>
      <c r="BC7" s="1620"/>
      <c r="BD7" s="1620"/>
      <c r="BE7" s="1620"/>
      <c r="BF7" s="1620"/>
      <c r="BG7" s="1620"/>
      <c r="BH7" s="1620"/>
      <c r="BI7" s="1620"/>
      <c r="BJ7" s="1620"/>
      <c r="BK7" s="1620"/>
      <c r="BL7" s="1620"/>
      <c r="BM7" s="1621"/>
    </row>
    <row r="8" spans="2:65" s="101" customFormat="1" ht="25.05" customHeight="1" thickBot="1">
      <c r="B8" s="1626"/>
      <c r="C8" s="275" t="s">
        <v>195</v>
      </c>
      <c r="D8" s="275" t="s">
        <v>196</v>
      </c>
      <c r="E8" s="524" t="s">
        <v>197</v>
      </c>
      <c r="F8" s="275" t="s">
        <v>187</v>
      </c>
      <c r="G8" s="275" t="s">
        <v>188</v>
      </c>
      <c r="H8" s="275" t="s">
        <v>189</v>
      </c>
      <c r="I8" s="275" t="s">
        <v>190</v>
      </c>
      <c r="J8" s="275" t="s">
        <v>8</v>
      </c>
      <c r="K8" s="275" t="s">
        <v>191</v>
      </c>
      <c r="L8" s="275" t="s">
        <v>192</v>
      </c>
      <c r="M8" s="275" t="s">
        <v>193</v>
      </c>
      <c r="N8" s="275" t="s">
        <v>194</v>
      </c>
      <c r="O8" s="275" t="s">
        <v>195</v>
      </c>
      <c r="P8" s="275" t="s">
        <v>196</v>
      </c>
      <c r="Q8" s="524" t="s">
        <v>197</v>
      </c>
      <c r="R8" s="275" t="s">
        <v>187</v>
      </c>
      <c r="S8" s="275" t="s">
        <v>188</v>
      </c>
      <c r="T8" s="275" t="s">
        <v>189</v>
      </c>
      <c r="U8" s="275" t="s">
        <v>190</v>
      </c>
      <c r="V8" s="275" t="s">
        <v>8</v>
      </c>
      <c r="W8" s="275" t="s">
        <v>191</v>
      </c>
      <c r="X8" s="275" t="s">
        <v>192</v>
      </c>
      <c r="Y8" s="275" t="s">
        <v>193</v>
      </c>
      <c r="Z8" s="275" t="s">
        <v>194</v>
      </c>
      <c r="AA8" s="275" t="s">
        <v>195</v>
      </c>
      <c r="AB8" s="275" t="s">
        <v>196</v>
      </c>
      <c r="AC8" s="524" t="s">
        <v>197</v>
      </c>
      <c r="AD8" s="275" t="s">
        <v>187</v>
      </c>
      <c r="AE8" s="275" t="s">
        <v>188</v>
      </c>
      <c r="AF8" s="275" t="s">
        <v>189</v>
      </c>
      <c r="AG8" s="275" t="s">
        <v>190</v>
      </c>
      <c r="AH8" s="275" t="s">
        <v>8</v>
      </c>
      <c r="AI8" s="275" t="s">
        <v>191</v>
      </c>
      <c r="AJ8" s="275" t="s">
        <v>192</v>
      </c>
      <c r="AK8" s="275" t="s">
        <v>193</v>
      </c>
      <c r="AL8" s="275" t="s">
        <v>194</v>
      </c>
      <c r="AM8" s="275" t="s">
        <v>195</v>
      </c>
      <c r="AN8" s="275" t="s">
        <v>196</v>
      </c>
      <c r="AO8" s="524" t="s">
        <v>197</v>
      </c>
      <c r="AP8" s="275" t="s">
        <v>187</v>
      </c>
      <c r="AQ8" s="275" t="s">
        <v>188</v>
      </c>
      <c r="AR8" s="275" t="s">
        <v>189</v>
      </c>
      <c r="AS8" s="275" t="s">
        <v>190</v>
      </c>
      <c r="AT8" s="275" t="s">
        <v>8</v>
      </c>
      <c r="AU8" s="275" t="s">
        <v>191</v>
      </c>
      <c r="AV8" s="275" t="s">
        <v>192</v>
      </c>
      <c r="AW8" s="275" t="s">
        <v>193</v>
      </c>
      <c r="AX8" s="275" t="s">
        <v>194</v>
      </c>
      <c r="AY8" s="275" t="s">
        <v>195</v>
      </c>
      <c r="AZ8" s="275" t="s">
        <v>196</v>
      </c>
      <c r="BA8" s="524" t="s">
        <v>197</v>
      </c>
      <c r="BB8" s="275" t="s">
        <v>187</v>
      </c>
      <c r="BC8" s="275" t="s">
        <v>188</v>
      </c>
      <c r="BD8" s="275" t="s">
        <v>189</v>
      </c>
      <c r="BE8" s="275" t="s">
        <v>190</v>
      </c>
      <c r="BF8" s="275" t="s">
        <v>8</v>
      </c>
      <c r="BG8" s="275" t="s">
        <v>191</v>
      </c>
      <c r="BH8" s="275" t="s">
        <v>192</v>
      </c>
      <c r="BI8" s="275" t="s">
        <v>193</v>
      </c>
      <c r="BJ8" s="275" t="s">
        <v>194</v>
      </c>
      <c r="BK8" s="275" t="s">
        <v>195</v>
      </c>
      <c r="BL8" s="275" t="s">
        <v>196</v>
      </c>
      <c r="BM8" s="524" t="s">
        <v>197</v>
      </c>
    </row>
    <row r="9" spans="2:65" s="101" customFormat="1" ht="25.05" customHeight="1">
      <c r="B9" s="107" t="s">
        <v>173</v>
      </c>
      <c r="C9" s="232">
        <f>(SUM(C18:C18)-SUM(C24:C24))</f>
        <v>2230.8183333333327</v>
      </c>
      <c r="D9" s="302">
        <f aca="true" t="shared" si="0" ref="D9">(SUM(D18:D18)-SUM(D24:D24))</f>
        <v>2230.8183333333327</v>
      </c>
      <c r="E9" s="300">
        <f>(SUM(E18:E18)-SUM(E24:E24))</f>
        <v>2230.8183333333327</v>
      </c>
      <c r="F9" s="232">
        <f>(SUM(F18:F18)-SUM(F24:F24))</f>
        <v>715</v>
      </c>
      <c r="G9" s="232">
        <f aca="true" t="shared" si="1" ref="G9:BM9">(SUM(G18:G18)-SUM(G24:G24))</f>
        <v>55</v>
      </c>
      <c r="H9" s="302">
        <f t="shared" si="1"/>
        <v>55</v>
      </c>
      <c r="I9" s="302">
        <f t="shared" si="1"/>
        <v>55</v>
      </c>
      <c r="J9" s="232">
        <f t="shared" si="1"/>
        <v>55</v>
      </c>
      <c r="K9" s="232">
        <f t="shared" si="1"/>
        <v>1463.0396</v>
      </c>
      <c r="L9" s="302">
        <f t="shared" si="1"/>
        <v>604.9823999999999</v>
      </c>
      <c r="M9" s="302">
        <f t="shared" si="1"/>
        <v>55</v>
      </c>
      <c r="N9" s="232">
        <f t="shared" si="1"/>
        <v>55</v>
      </c>
      <c r="O9" s="232">
        <f t="shared" si="1"/>
        <v>6639.101883333329</v>
      </c>
      <c r="P9" s="302">
        <f t="shared" si="1"/>
        <v>4534.5554833333335</v>
      </c>
      <c r="Q9" s="300">
        <f t="shared" si="1"/>
        <v>4579.8952833333315</v>
      </c>
      <c r="R9" s="232">
        <f t="shared" si="1"/>
        <v>12448.703519999995</v>
      </c>
      <c r="S9" s="232">
        <f t="shared" si="1"/>
        <v>7268.900320000001</v>
      </c>
      <c r="T9" s="302">
        <f t="shared" si="1"/>
        <v>7374.830320000001</v>
      </c>
      <c r="U9" s="302">
        <f t="shared" si="1"/>
        <v>7417.079120000002</v>
      </c>
      <c r="V9" s="232">
        <f t="shared" si="1"/>
        <v>7459.327920000003</v>
      </c>
      <c r="W9" s="232">
        <f t="shared" si="1"/>
        <v>7502.131119999998</v>
      </c>
      <c r="X9" s="302">
        <f t="shared" si="1"/>
        <v>8317.332320000001</v>
      </c>
      <c r="Y9" s="302">
        <f t="shared" si="1"/>
        <v>8360.824724999999</v>
      </c>
      <c r="Z9" s="232">
        <f t="shared" si="1"/>
        <v>8415.644325000001</v>
      </c>
      <c r="AA9" s="232">
        <f t="shared" si="1"/>
        <v>8458.539924999997</v>
      </c>
      <c r="AB9" s="302">
        <f t="shared" si="1"/>
        <v>8512.743524999998</v>
      </c>
      <c r="AC9" s="300">
        <f t="shared" si="1"/>
        <v>8568.806730000004</v>
      </c>
      <c r="AD9" s="232">
        <f t="shared" si="1"/>
        <v>21117.888714999994</v>
      </c>
      <c r="AE9" s="232">
        <f t="shared" si="1"/>
        <v>13472.893114999999</v>
      </c>
      <c r="AF9" s="302">
        <f t="shared" si="1"/>
        <v>13540.356719999996</v>
      </c>
      <c r="AG9" s="302">
        <f t="shared" si="1"/>
        <v>13594.837520000001</v>
      </c>
      <c r="AH9" s="232">
        <f t="shared" si="1"/>
        <v>13661.704320000004</v>
      </c>
      <c r="AI9" s="232">
        <f t="shared" si="1"/>
        <v>13729.35272499999</v>
      </c>
      <c r="AJ9" s="302">
        <f t="shared" si="1"/>
        <v>13796.404324999996</v>
      </c>
      <c r="AK9" s="302">
        <f t="shared" si="1"/>
        <v>13863.455925000002</v>
      </c>
      <c r="AL9" s="232">
        <f t="shared" si="1"/>
        <v>13943.675130000003</v>
      </c>
      <c r="AM9" s="232">
        <f t="shared" si="1"/>
        <v>14010.911529999998</v>
      </c>
      <c r="AN9" s="302">
        <f t="shared" si="1"/>
        <v>14101.934330000004</v>
      </c>
      <c r="AO9" s="300">
        <f t="shared" si="1"/>
        <v>14180.66352999999</v>
      </c>
      <c r="AP9" s="232">
        <f t="shared" si="1"/>
        <v>31513.610864999995</v>
      </c>
      <c r="AQ9" s="232">
        <f t="shared" si="1"/>
        <v>21486.06207</v>
      </c>
      <c r="AR9" s="302">
        <f t="shared" si="1"/>
        <v>21577.454469999997</v>
      </c>
      <c r="AS9" s="302">
        <f t="shared" si="1"/>
        <v>21681.32527</v>
      </c>
      <c r="AT9" s="232">
        <f t="shared" si="1"/>
        <v>21795.55928</v>
      </c>
      <c r="AU9" s="232">
        <f t="shared" si="1"/>
        <v>21908.66128</v>
      </c>
      <c r="AV9" s="302">
        <f t="shared" si="1"/>
        <v>23632.67499999999</v>
      </c>
      <c r="AW9" s="302">
        <f t="shared" si="1"/>
        <v>23769.82140499998</v>
      </c>
      <c r="AX9" s="232">
        <f t="shared" si="1"/>
        <v>23908.230609999984</v>
      </c>
      <c r="AY9" s="232">
        <f t="shared" si="1"/>
        <v>24045.42701</v>
      </c>
      <c r="AZ9" s="302">
        <f t="shared" si="1"/>
        <v>24195.421415000004</v>
      </c>
      <c r="BA9" s="300">
        <f t="shared" si="1"/>
        <v>24344.911414999995</v>
      </c>
      <c r="BB9" s="232">
        <f t="shared" si="1"/>
        <v>44597.66899133334</v>
      </c>
      <c r="BC9" s="232">
        <f t="shared" si="1"/>
        <v>34421.75500133334</v>
      </c>
      <c r="BD9" s="302">
        <f t="shared" si="1"/>
        <v>34607.26340133333</v>
      </c>
      <c r="BE9" s="302">
        <f t="shared" si="1"/>
        <v>34782.33780633332</v>
      </c>
      <c r="BF9" s="232">
        <f t="shared" si="1"/>
        <v>35003.967016333336</v>
      </c>
      <c r="BG9" s="232">
        <f t="shared" si="1"/>
        <v>35211.092616333335</v>
      </c>
      <c r="BH9" s="302">
        <f t="shared" si="1"/>
        <v>37044.224906333315</v>
      </c>
      <c r="BI9" s="302">
        <f t="shared" si="1"/>
        <v>37277.21211133333</v>
      </c>
      <c r="BJ9" s="232">
        <f t="shared" si="1"/>
        <v>37532.55731133334</v>
      </c>
      <c r="BK9" s="232">
        <f t="shared" si="1"/>
        <v>37791.40612133333</v>
      </c>
      <c r="BL9" s="302">
        <f t="shared" si="1"/>
        <v>38060.22692633333</v>
      </c>
      <c r="BM9" s="300">
        <f t="shared" si="1"/>
        <v>38353.038126333326</v>
      </c>
    </row>
    <row r="10" spans="2:65" s="101" customFormat="1" ht="25.05" customHeight="1">
      <c r="B10" s="107" t="s">
        <v>174</v>
      </c>
      <c r="C10" s="232">
        <f>SUM(C17:C17)-SUM(C23:C23)</f>
        <v>456.55499999999984</v>
      </c>
      <c r="D10" s="232">
        <f aca="true" t="shared" si="2" ref="D10">SUM(D17:D17)-SUM(D23:D23)</f>
        <v>456.55499999999984</v>
      </c>
      <c r="E10" s="300">
        <f>SUM(E17:E17)-SUM(E23:E23)</f>
        <v>456.55499999999984</v>
      </c>
      <c r="F10" s="232">
        <f>SUM(F17:F17)-SUM(F23:F23)</f>
        <v>0</v>
      </c>
      <c r="G10" s="232">
        <f aca="true" t="shared" si="3" ref="G10:BM10">SUM(G17:G17)-SUM(G23:G23)</f>
        <v>0</v>
      </c>
      <c r="H10" s="232">
        <f t="shared" si="3"/>
        <v>0</v>
      </c>
      <c r="I10" s="232">
        <f t="shared" si="3"/>
        <v>0</v>
      </c>
      <c r="J10" s="232">
        <f t="shared" si="3"/>
        <v>0</v>
      </c>
      <c r="K10" s="232">
        <f t="shared" si="3"/>
        <v>1841.3999999999996</v>
      </c>
      <c r="L10" s="232">
        <f t="shared" si="3"/>
        <v>611.5999999999999</v>
      </c>
      <c r="M10" s="232">
        <f t="shared" si="3"/>
        <v>0</v>
      </c>
      <c r="N10" s="232">
        <f t="shared" si="3"/>
        <v>0</v>
      </c>
      <c r="O10" s="232">
        <f t="shared" si="3"/>
        <v>3526.3250000000007</v>
      </c>
      <c r="P10" s="232">
        <f t="shared" si="3"/>
        <v>4058.7249999999985</v>
      </c>
      <c r="Q10" s="300">
        <f t="shared" si="3"/>
        <v>4154.424999999999</v>
      </c>
      <c r="R10" s="232">
        <f t="shared" si="3"/>
        <v>7621.68</v>
      </c>
      <c r="S10" s="232">
        <f t="shared" si="3"/>
        <v>8492.879999999997</v>
      </c>
      <c r="T10" s="232">
        <f t="shared" si="3"/>
        <v>8987.879999999997</v>
      </c>
      <c r="U10" s="232">
        <f t="shared" si="3"/>
        <v>9177.080000000002</v>
      </c>
      <c r="V10" s="232">
        <f t="shared" si="3"/>
        <v>9366.279999999999</v>
      </c>
      <c r="W10" s="232">
        <f t="shared" si="3"/>
        <v>9595.080000000002</v>
      </c>
      <c r="X10" s="232">
        <f t="shared" si="3"/>
        <v>10780.879999999997</v>
      </c>
      <c r="Y10" s="232">
        <f t="shared" si="3"/>
        <v>10980.337500000001</v>
      </c>
      <c r="Z10" s="232">
        <f t="shared" si="3"/>
        <v>11281.737499999996</v>
      </c>
      <c r="AA10" s="232">
        <f t="shared" si="3"/>
        <v>11517.137499999997</v>
      </c>
      <c r="AB10" s="232">
        <f t="shared" si="3"/>
        <v>11774.537499999999</v>
      </c>
      <c r="AC10" s="300">
        <f t="shared" si="3"/>
        <v>12086.194999999992</v>
      </c>
      <c r="AD10" s="232">
        <f t="shared" si="3"/>
        <v>18030.622499999998</v>
      </c>
      <c r="AE10" s="232">
        <f t="shared" si="3"/>
        <v>18345.222500000003</v>
      </c>
      <c r="AF10" s="232">
        <f t="shared" si="3"/>
        <v>18685.479999999996</v>
      </c>
      <c r="AG10" s="232">
        <f t="shared" si="3"/>
        <v>18962.679999999993</v>
      </c>
      <c r="AH10" s="232">
        <f t="shared" si="3"/>
        <v>19338.880000000005</v>
      </c>
      <c r="AI10" s="232">
        <f t="shared" si="3"/>
        <v>19692.337499999994</v>
      </c>
      <c r="AJ10" s="232">
        <f t="shared" si="3"/>
        <v>20081.737500000003</v>
      </c>
      <c r="AK10" s="232">
        <f t="shared" si="3"/>
        <v>20471.137499999997</v>
      </c>
      <c r="AL10" s="232">
        <f t="shared" si="3"/>
        <v>20936.795</v>
      </c>
      <c r="AM10" s="232">
        <f t="shared" si="3"/>
        <v>21339.395000000004</v>
      </c>
      <c r="AN10" s="232">
        <f t="shared" si="3"/>
        <v>21869.595</v>
      </c>
      <c r="AO10" s="300">
        <f t="shared" si="3"/>
        <v>22307.395000000004</v>
      </c>
      <c r="AP10" s="232">
        <f t="shared" si="3"/>
        <v>30647.347500000003</v>
      </c>
      <c r="AQ10" s="232">
        <f t="shared" si="3"/>
        <v>31201.005000000005</v>
      </c>
      <c r="AR10" s="232">
        <f t="shared" si="3"/>
        <v>31757.60500000001</v>
      </c>
      <c r="AS10" s="232">
        <f t="shared" si="3"/>
        <v>32419.804999999993</v>
      </c>
      <c r="AT10" s="232">
        <f t="shared" si="3"/>
        <v>33036.51999999999</v>
      </c>
      <c r="AU10" s="232">
        <f t="shared" si="3"/>
        <v>33729.51999999999</v>
      </c>
      <c r="AV10" s="232">
        <f t="shared" si="3"/>
        <v>37130.5</v>
      </c>
      <c r="AW10" s="232">
        <f t="shared" si="3"/>
        <v>37890.95749999999</v>
      </c>
      <c r="AX10" s="232">
        <f t="shared" si="3"/>
        <v>38741.61499999999</v>
      </c>
      <c r="AY10" s="232">
        <f t="shared" si="3"/>
        <v>39584.215</v>
      </c>
      <c r="AZ10" s="232">
        <f t="shared" si="3"/>
        <v>40476.672499999986</v>
      </c>
      <c r="BA10" s="300">
        <f t="shared" si="3"/>
        <v>41411.672499999986</v>
      </c>
      <c r="BB10" s="232">
        <f t="shared" si="3"/>
        <v>52996.09700000001</v>
      </c>
      <c r="BC10" s="232">
        <f t="shared" si="3"/>
        <v>54030.811999999976</v>
      </c>
      <c r="BD10" s="232">
        <f t="shared" si="3"/>
        <v>55181.41200000001</v>
      </c>
      <c r="BE10" s="232">
        <f t="shared" si="3"/>
        <v>56293.86949999997</v>
      </c>
      <c r="BF10" s="232">
        <f t="shared" si="3"/>
        <v>57667.384499999986</v>
      </c>
      <c r="BG10" s="232">
        <f t="shared" si="3"/>
        <v>58947.78450000001</v>
      </c>
      <c r="BH10" s="232">
        <f t="shared" si="3"/>
        <v>63071.519499999995</v>
      </c>
      <c r="BI10" s="232">
        <f t="shared" si="3"/>
        <v>64549.17699999997</v>
      </c>
      <c r="BJ10" s="232">
        <f t="shared" si="3"/>
        <v>66130.97700000001</v>
      </c>
      <c r="BK10" s="232">
        <f t="shared" si="3"/>
        <v>67805.89199999999</v>
      </c>
      <c r="BL10" s="232">
        <f t="shared" si="3"/>
        <v>69485.94949999999</v>
      </c>
      <c r="BM10" s="300">
        <f t="shared" si="3"/>
        <v>71386.74949999998</v>
      </c>
    </row>
    <row r="11" spans="2:65" s="101" customFormat="1" ht="25.05" customHeight="1" thickBot="1">
      <c r="B11" s="108" t="s">
        <v>175</v>
      </c>
      <c r="C11" s="299">
        <f aca="true" t="shared" si="4" ref="C11:D11">+C9-C10</f>
        <v>1774.2633333333329</v>
      </c>
      <c r="D11" s="299">
        <f t="shared" si="4"/>
        <v>1774.2633333333329</v>
      </c>
      <c r="E11" s="301">
        <f>+E9-E10</f>
        <v>1774.2633333333329</v>
      </c>
      <c r="F11" s="299">
        <f>+F9-F10</f>
        <v>715</v>
      </c>
      <c r="G11" s="299">
        <f aca="true" t="shared" si="5" ref="G11">+G9-G10</f>
        <v>55</v>
      </c>
      <c r="H11" s="299">
        <f>+H9-H10</f>
        <v>55</v>
      </c>
      <c r="I11" s="299">
        <f>+I9-I10</f>
        <v>55</v>
      </c>
      <c r="J11" s="299">
        <f>+J9-J10</f>
        <v>55</v>
      </c>
      <c r="K11" s="299">
        <f aca="true" t="shared" si="6" ref="K11">+K9-K10</f>
        <v>-378.3603999999996</v>
      </c>
      <c r="L11" s="299">
        <f>+L9-L10</f>
        <v>-6.617600000000039</v>
      </c>
      <c r="M11" s="299">
        <f>+M9-M10</f>
        <v>55</v>
      </c>
      <c r="N11" s="299">
        <f>+N9-N10</f>
        <v>55</v>
      </c>
      <c r="O11" s="299">
        <f aca="true" t="shared" si="7" ref="O11">+O9-O10</f>
        <v>3112.7768833333284</v>
      </c>
      <c r="P11" s="299">
        <f>+P9-P10</f>
        <v>475.830483333335</v>
      </c>
      <c r="Q11" s="301">
        <f>+Q9-Q10</f>
        <v>425.4702833333322</v>
      </c>
      <c r="R11" s="299">
        <f>+R9-R10</f>
        <v>4827.023519999995</v>
      </c>
      <c r="S11" s="299">
        <f aca="true" t="shared" si="8" ref="S11">+S9-S10</f>
        <v>-1223.9796799999967</v>
      </c>
      <c r="T11" s="299">
        <f>+T9-T10</f>
        <v>-1613.0496799999964</v>
      </c>
      <c r="U11" s="299">
        <f>+U9-U10</f>
        <v>-1760.0008799999996</v>
      </c>
      <c r="V11" s="299">
        <f>+V9-V10</f>
        <v>-1906.9520799999955</v>
      </c>
      <c r="W11" s="299">
        <f aca="true" t="shared" si="9" ref="W11">+W9-W10</f>
        <v>-2092.9488800000036</v>
      </c>
      <c r="X11" s="299">
        <f>+X9-X10</f>
        <v>-2463.547679999996</v>
      </c>
      <c r="Y11" s="299">
        <f>+Y9-Y10</f>
        <v>-2619.512775000003</v>
      </c>
      <c r="Z11" s="299">
        <f>+Z9-Z10</f>
        <v>-2866.0931749999945</v>
      </c>
      <c r="AA11" s="299">
        <f aca="true" t="shared" si="10" ref="AA11">+AA9-AA10</f>
        <v>-3058.597575</v>
      </c>
      <c r="AB11" s="299">
        <f>+AB9-AB10</f>
        <v>-3261.7939750000005</v>
      </c>
      <c r="AC11" s="301">
        <f>+AC9-AC10</f>
        <v>-3517.3882699999886</v>
      </c>
      <c r="AD11" s="299">
        <f>+AD9-AD10</f>
        <v>3087.266214999996</v>
      </c>
      <c r="AE11" s="299">
        <f aca="true" t="shared" si="11" ref="AE11">+AE9-AE10</f>
        <v>-4872.329385000005</v>
      </c>
      <c r="AF11" s="299">
        <f>+AF9-AF10</f>
        <v>-5145.12328</v>
      </c>
      <c r="AG11" s="299">
        <f>+AG9-AG10</f>
        <v>-5367.842479999992</v>
      </c>
      <c r="AH11" s="299">
        <f>+AH9-AH10</f>
        <v>-5677.17568</v>
      </c>
      <c r="AI11" s="299">
        <f aca="true" t="shared" si="12" ref="AI11">+AI9-AI10</f>
        <v>-5962.984775000004</v>
      </c>
      <c r="AJ11" s="299">
        <f>+AJ9-AJ10</f>
        <v>-6285.333175000007</v>
      </c>
      <c r="AK11" s="299">
        <f>+AK9-AK10</f>
        <v>-6607.681574999995</v>
      </c>
      <c r="AL11" s="299">
        <f>+AL9-AL10</f>
        <v>-6993.119869999995</v>
      </c>
      <c r="AM11" s="299">
        <f aca="true" t="shared" si="13" ref="AM11">+AM9-AM10</f>
        <v>-7328.4834700000065</v>
      </c>
      <c r="AN11" s="299">
        <f>+AN9-AN10</f>
        <v>-7767.6606699999975</v>
      </c>
      <c r="AO11" s="301">
        <f>+AO9-AO10</f>
        <v>-8126.731470000013</v>
      </c>
      <c r="AP11" s="299">
        <f>+AP9-AP10</f>
        <v>866.2633649999916</v>
      </c>
      <c r="AQ11" s="299">
        <f aca="true" t="shared" si="14" ref="AQ11">+AQ9-AQ10</f>
        <v>-9714.942930000005</v>
      </c>
      <c r="AR11" s="299">
        <f>+AR9-AR10</f>
        <v>-10180.150530000014</v>
      </c>
      <c r="AS11" s="299">
        <f>+AS9-AS10</f>
        <v>-10738.479729999992</v>
      </c>
      <c r="AT11" s="299">
        <f>+AT9-AT10</f>
        <v>-11240.960719999988</v>
      </c>
      <c r="AU11" s="299">
        <f aca="true" t="shared" si="15" ref="AU11">+AU9-AU10</f>
        <v>-11820.85871999999</v>
      </c>
      <c r="AV11" s="299">
        <f>+AV9-AV10</f>
        <v>-13497.825000000012</v>
      </c>
      <c r="AW11" s="299">
        <f>+AW9-AW10</f>
        <v>-14121.136095000009</v>
      </c>
      <c r="AX11" s="299">
        <f>+AX9-AX10</f>
        <v>-14833.384390000007</v>
      </c>
      <c r="AY11" s="299">
        <f aca="true" t="shared" si="16" ref="AY11">+AY9-AY10</f>
        <v>-15538.787989999997</v>
      </c>
      <c r="AZ11" s="299">
        <f>+AZ9-AZ10</f>
        <v>-16281.251084999982</v>
      </c>
      <c r="BA11" s="301">
        <f>+BA9-BA10</f>
        <v>-17066.76108499999</v>
      </c>
      <c r="BB11" s="299">
        <f>+BB9-BB10</f>
        <v>-8398.42800866667</v>
      </c>
      <c r="BC11" s="299">
        <f aca="true" t="shared" si="17" ref="BC11">+BC9-BC10</f>
        <v>-19609.056998666638</v>
      </c>
      <c r="BD11" s="299">
        <f>+BD9-BD10</f>
        <v>-20574.14859866668</v>
      </c>
      <c r="BE11" s="299">
        <f>+BE9-BE10</f>
        <v>-21511.53169366665</v>
      </c>
      <c r="BF11" s="299">
        <f>+BF9-BF10</f>
        <v>-22663.41748366665</v>
      </c>
      <c r="BG11" s="299">
        <f aca="true" t="shared" si="18" ref="BG11">+BG9-BG10</f>
        <v>-23736.691883666674</v>
      </c>
      <c r="BH11" s="299">
        <f>+BH9-BH10</f>
        <v>-26027.29459366668</v>
      </c>
      <c r="BI11" s="299">
        <f>+BI9-BI10</f>
        <v>-27271.96488866664</v>
      </c>
      <c r="BJ11" s="299">
        <f>+BJ9-BJ10</f>
        <v>-28598.419688666676</v>
      </c>
      <c r="BK11" s="299">
        <f aca="true" t="shared" si="19" ref="BK11">+BK9-BK10</f>
        <v>-30014.48587866666</v>
      </c>
      <c r="BL11" s="299">
        <f>+BL9-BL10</f>
        <v>-31425.72257366666</v>
      </c>
      <c r="BM11" s="301">
        <f>+BM9-BM10</f>
        <v>-33033.71137366665</v>
      </c>
    </row>
    <row r="13" ht="16.2" thickBot="1"/>
    <row r="14" spans="2:65" s="52" customFormat="1" ht="34.95" customHeight="1">
      <c r="B14" s="1603" t="s">
        <v>200</v>
      </c>
      <c r="C14" s="1619">
        <f>+C7</f>
        <v>2019</v>
      </c>
      <c r="D14" s="1620"/>
      <c r="E14" s="1621"/>
      <c r="F14" s="1579">
        <f>+C14+1</f>
        <v>2020</v>
      </c>
      <c r="G14" s="1579"/>
      <c r="H14" s="1579"/>
      <c r="I14" s="1579"/>
      <c r="J14" s="1579"/>
      <c r="K14" s="1579"/>
      <c r="L14" s="1579"/>
      <c r="M14" s="1579"/>
      <c r="N14" s="1579"/>
      <c r="O14" s="1579"/>
      <c r="P14" s="1579"/>
      <c r="Q14" s="1580"/>
      <c r="R14" s="1595">
        <f>1+F14</f>
        <v>2021</v>
      </c>
      <c r="S14" s="1579"/>
      <c r="T14" s="1579"/>
      <c r="U14" s="1579"/>
      <c r="V14" s="1579"/>
      <c r="W14" s="1579"/>
      <c r="X14" s="1579"/>
      <c r="Y14" s="1579"/>
      <c r="Z14" s="1579"/>
      <c r="AA14" s="1579"/>
      <c r="AB14" s="1579"/>
      <c r="AC14" s="1580"/>
      <c r="AD14" s="1595">
        <f>1+R14</f>
        <v>2022</v>
      </c>
      <c r="AE14" s="1579"/>
      <c r="AF14" s="1579"/>
      <c r="AG14" s="1579"/>
      <c r="AH14" s="1579"/>
      <c r="AI14" s="1579"/>
      <c r="AJ14" s="1579"/>
      <c r="AK14" s="1579"/>
      <c r="AL14" s="1579"/>
      <c r="AM14" s="1579"/>
      <c r="AN14" s="1579"/>
      <c r="AO14" s="1580"/>
      <c r="AP14" s="1595">
        <f>1+AD14</f>
        <v>2023</v>
      </c>
      <c r="AQ14" s="1579"/>
      <c r="AR14" s="1579"/>
      <c r="AS14" s="1579"/>
      <c r="AT14" s="1579"/>
      <c r="AU14" s="1579"/>
      <c r="AV14" s="1579"/>
      <c r="AW14" s="1579"/>
      <c r="AX14" s="1579"/>
      <c r="AY14" s="1579"/>
      <c r="AZ14" s="1579"/>
      <c r="BA14" s="1580"/>
      <c r="BB14" s="1595">
        <f>1+AP14</f>
        <v>2024</v>
      </c>
      <c r="BC14" s="1579"/>
      <c r="BD14" s="1579"/>
      <c r="BE14" s="1579"/>
      <c r="BF14" s="1579"/>
      <c r="BG14" s="1579"/>
      <c r="BH14" s="1579"/>
      <c r="BI14" s="1579"/>
      <c r="BJ14" s="1579"/>
      <c r="BK14" s="1579"/>
      <c r="BL14" s="1579"/>
      <c r="BM14" s="1580"/>
    </row>
    <row r="15" spans="2:65" s="52" customFormat="1" ht="16.2" thickBot="1">
      <c r="B15" s="1604"/>
      <c r="C15" s="1622"/>
      <c r="D15" s="1623"/>
      <c r="E15" s="1624"/>
      <c r="F15" s="1581"/>
      <c r="G15" s="1581"/>
      <c r="H15" s="1581"/>
      <c r="I15" s="1581"/>
      <c r="J15" s="1581"/>
      <c r="K15" s="1581"/>
      <c r="L15" s="1581"/>
      <c r="M15" s="1581"/>
      <c r="N15" s="1581"/>
      <c r="O15" s="1581"/>
      <c r="P15" s="1581"/>
      <c r="Q15" s="1582"/>
      <c r="R15" s="1596"/>
      <c r="S15" s="1581"/>
      <c r="T15" s="1581"/>
      <c r="U15" s="1581"/>
      <c r="V15" s="1581"/>
      <c r="W15" s="1581"/>
      <c r="X15" s="1581"/>
      <c r="Y15" s="1581"/>
      <c r="Z15" s="1581"/>
      <c r="AA15" s="1581"/>
      <c r="AB15" s="1581"/>
      <c r="AC15" s="1582"/>
      <c r="AD15" s="1596"/>
      <c r="AE15" s="1581"/>
      <c r="AF15" s="1581"/>
      <c r="AG15" s="1581"/>
      <c r="AH15" s="1581"/>
      <c r="AI15" s="1581"/>
      <c r="AJ15" s="1581"/>
      <c r="AK15" s="1581"/>
      <c r="AL15" s="1581"/>
      <c r="AM15" s="1581"/>
      <c r="AN15" s="1581"/>
      <c r="AO15" s="1582"/>
      <c r="AP15" s="1596"/>
      <c r="AQ15" s="1581"/>
      <c r="AR15" s="1581"/>
      <c r="AS15" s="1581"/>
      <c r="AT15" s="1581"/>
      <c r="AU15" s="1581"/>
      <c r="AV15" s="1581"/>
      <c r="AW15" s="1581"/>
      <c r="AX15" s="1581"/>
      <c r="AY15" s="1581"/>
      <c r="AZ15" s="1581"/>
      <c r="BA15" s="1582"/>
      <c r="BB15" s="1596"/>
      <c r="BC15" s="1581"/>
      <c r="BD15" s="1581"/>
      <c r="BE15" s="1581"/>
      <c r="BF15" s="1581"/>
      <c r="BG15" s="1581"/>
      <c r="BH15" s="1581"/>
      <c r="BI15" s="1581"/>
      <c r="BJ15" s="1581"/>
      <c r="BK15" s="1581"/>
      <c r="BL15" s="1581"/>
      <c r="BM15" s="1582"/>
    </row>
    <row r="16" spans="2:65" s="52" customFormat="1" ht="16.2" thickBot="1">
      <c r="B16" s="1605"/>
      <c r="C16" s="275" t="s">
        <v>195</v>
      </c>
      <c r="D16" s="275" t="s">
        <v>196</v>
      </c>
      <c r="E16" s="524" t="s">
        <v>197</v>
      </c>
      <c r="F16" s="275" t="s">
        <v>187</v>
      </c>
      <c r="G16" s="275" t="s">
        <v>188</v>
      </c>
      <c r="H16" s="275" t="s">
        <v>189</v>
      </c>
      <c r="I16" s="275" t="s">
        <v>190</v>
      </c>
      <c r="J16" s="275" t="s">
        <v>8</v>
      </c>
      <c r="K16" s="275" t="s">
        <v>191</v>
      </c>
      <c r="L16" s="275" t="s">
        <v>192</v>
      </c>
      <c r="M16" s="275" t="s">
        <v>193</v>
      </c>
      <c r="N16" s="275" t="s">
        <v>194</v>
      </c>
      <c r="O16" s="275" t="s">
        <v>195</v>
      </c>
      <c r="P16" s="275" t="s">
        <v>196</v>
      </c>
      <c r="Q16" s="276" t="s">
        <v>197</v>
      </c>
      <c r="R16" s="274" t="s">
        <v>187</v>
      </c>
      <c r="S16" s="275" t="s">
        <v>188</v>
      </c>
      <c r="T16" s="275" t="s">
        <v>189</v>
      </c>
      <c r="U16" s="275" t="s">
        <v>190</v>
      </c>
      <c r="V16" s="275" t="s">
        <v>8</v>
      </c>
      <c r="W16" s="275" t="s">
        <v>191</v>
      </c>
      <c r="X16" s="275" t="s">
        <v>192</v>
      </c>
      <c r="Y16" s="275" t="s">
        <v>193</v>
      </c>
      <c r="Z16" s="275" t="s">
        <v>194</v>
      </c>
      <c r="AA16" s="275" t="s">
        <v>195</v>
      </c>
      <c r="AB16" s="275" t="s">
        <v>196</v>
      </c>
      <c r="AC16" s="276" t="s">
        <v>197</v>
      </c>
      <c r="AD16" s="274" t="s">
        <v>187</v>
      </c>
      <c r="AE16" s="275" t="s">
        <v>188</v>
      </c>
      <c r="AF16" s="275" t="s">
        <v>189</v>
      </c>
      <c r="AG16" s="275" t="s">
        <v>190</v>
      </c>
      <c r="AH16" s="275" t="s">
        <v>8</v>
      </c>
      <c r="AI16" s="275" t="s">
        <v>191</v>
      </c>
      <c r="AJ16" s="275" t="s">
        <v>192</v>
      </c>
      <c r="AK16" s="275" t="s">
        <v>193</v>
      </c>
      <c r="AL16" s="275" t="s">
        <v>194</v>
      </c>
      <c r="AM16" s="275" t="s">
        <v>195</v>
      </c>
      <c r="AN16" s="275" t="s">
        <v>196</v>
      </c>
      <c r="AO16" s="276" t="s">
        <v>197</v>
      </c>
      <c r="AP16" s="274" t="s">
        <v>187</v>
      </c>
      <c r="AQ16" s="275" t="s">
        <v>188</v>
      </c>
      <c r="AR16" s="275" t="s">
        <v>189</v>
      </c>
      <c r="AS16" s="275" t="s">
        <v>190</v>
      </c>
      <c r="AT16" s="275" t="s">
        <v>8</v>
      </c>
      <c r="AU16" s="275" t="s">
        <v>191</v>
      </c>
      <c r="AV16" s="275" t="s">
        <v>192</v>
      </c>
      <c r="AW16" s="275" t="s">
        <v>193</v>
      </c>
      <c r="AX16" s="275" t="s">
        <v>194</v>
      </c>
      <c r="AY16" s="275" t="s">
        <v>195</v>
      </c>
      <c r="AZ16" s="275" t="s">
        <v>196</v>
      </c>
      <c r="BA16" s="276" t="s">
        <v>197</v>
      </c>
      <c r="BB16" s="414" t="s">
        <v>187</v>
      </c>
      <c r="BC16" s="275" t="s">
        <v>188</v>
      </c>
      <c r="BD16" s="275" t="s">
        <v>189</v>
      </c>
      <c r="BE16" s="275" t="s">
        <v>190</v>
      </c>
      <c r="BF16" s="275" t="s">
        <v>8</v>
      </c>
      <c r="BG16" s="275" t="s">
        <v>191</v>
      </c>
      <c r="BH16" s="275" t="s">
        <v>192</v>
      </c>
      <c r="BI16" s="275" t="s">
        <v>193</v>
      </c>
      <c r="BJ16" s="275" t="s">
        <v>194</v>
      </c>
      <c r="BK16" s="275" t="s">
        <v>195</v>
      </c>
      <c r="BL16" s="275" t="s">
        <v>196</v>
      </c>
      <c r="BM16" s="415" t="s">
        <v>197</v>
      </c>
    </row>
    <row r="17" spans="2:65" ht="16.05" customHeight="1">
      <c r="B17" s="103" t="s">
        <v>170</v>
      </c>
      <c r="C17" s="232">
        <f aca="true" t="shared" si="20" ref="C17:D17">+C23*(1+$C$5)</f>
        <v>2531.805</v>
      </c>
      <c r="D17" s="232">
        <f t="shared" si="20"/>
        <v>2531.805</v>
      </c>
      <c r="E17" s="300">
        <f aca="true" t="shared" si="21" ref="E17:AJ17">+E23*(1+$C$5)</f>
        <v>2531.805</v>
      </c>
      <c r="F17" s="458">
        <f t="shared" si="21"/>
        <v>0</v>
      </c>
      <c r="G17" s="458">
        <f t="shared" si="21"/>
        <v>0</v>
      </c>
      <c r="H17" s="458">
        <f t="shared" si="21"/>
        <v>0</v>
      </c>
      <c r="I17" s="458">
        <f t="shared" si="21"/>
        <v>0</v>
      </c>
      <c r="J17" s="458">
        <f t="shared" si="21"/>
        <v>0</v>
      </c>
      <c r="K17" s="458">
        <f t="shared" si="21"/>
        <v>10211.4</v>
      </c>
      <c r="L17" s="458">
        <f t="shared" si="21"/>
        <v>3391.6</v>
      </c>
      <c r="M17" s="458">
        <f t="shared" si="21"/>
        <v>0</v>
      </c>
      <c r="N17" s="458">
        <f t="shared" si="21"/>
        <v>0</v>
      </c>
      <c r="O17" s="458">
        <f t="shared" si="21"/>
        <v>19555.075</v>
      </c>
      <c r="P17" s="458">
        <f t="shared" si="21"/>
        <v>22507.475</v>
      </c>
      <c r="Q17" s="459">
        <f t="shared" si="21"/>
        <v>23038.175</v>
      </c>
      <c r="R17" s="457">
        <f t="shared" si="21"/>
        <v>42265.68</v>
      </c>
      <c r="S17" s="458">
        <f t="shared" si="21"/>
        <v>47096.88</v>
      </c>
      <c r="T17" s="458">
        <f t="shared" si="21"/>
        <v>49841.88</v>
      </c>
      <c r="U17" s="458">
        <f t="shared" si="21"/>
        <v>50891.08</v>
      </c>
      <c r="V17" s="458">
        <f t="shared" si="21"/>
        <v>51940.28</v>
      </c>
      <c r="W17" s="458">
        <f t="shared" si="21"/>
        <v>53209.08</v>
      </c>
      <c r="X17" s="458">
        <f t="shared" si="21"/>
        <v>59784.88</v>
      </c>
      <c r="Y17" s="458">
        <f t="shared" si="21"/>
        <v>60890.9625</v>
      </c>
      <c r="Z17" s="458">
        <f t="shared" si="21"/>
        <v>62562.362499999996</v>
      </c>
      <c r="AA17" s="458">
        <f t="shared" si="21"/>
        <v>63867.7625</v>
      </c>
      <c r="AB17" s="458">
        <f t="shared" si="21"/>
        <v>65295.1625</v>
      </c>
      <c r="AC17" s="459">
        <f t="shared" si="21"/>
        <v>67023.44499999999</v>
      </c>
      <c r="AD17" s="457">
        <f t="shared" si="21"/>
        <v>99987.9975</v>
      </c>
      <c r="AE17" s="458">
        <f t="shared" si="21"/>
        <v>101732.5975</v>
      </c>
      <c r="AF17" s="458">
        <f t="shared" si="21"/>
        <v>103619.48</v>
      </c>
      <c r="AG17" s="458">
        <f t="shared" si="21"/>
        <v>105156.68</v>
      </c>
      <c r="AH17" s="458">
        <f t="shared" si="21"/>
        <v>107242.88</v>
      </c>
      <c r="AI17" s="458">
        <f t="shared" si="21"/>
        <v>109202.9625</v>
      </c>
      <c r="AJ17" s="458">
        <f t="shared" si="21"/>
        <v>111362.3625</v>
      </c>
      <c r="AK17" s="458">
        <f aca="true" t="shared" si="22" ref="AK17:BM17">+AK23*(1+$C$5)</f>
        <v>113521.7625</v>
      </c>
      <c r="AL17" s="458">
        <f t="shared" si="22"/>
        <v>116104.045</v>
      </c>
      <c r="AM17" s="458">
        <f t="shared" si="22"/>
        <v>118336.645</v>
      </c>
      <c r="AN17" s="458">
        <f t="shared" si="22"/>
        <v>121276.845</v>
      </c>
      <c r="AO17" s="459">
        <f t="shared" si="22"/>
        <v>123704.645</v>
      </c>
      <c r="AP17" s="457">
        <f t="shared" si="22"/>
        <v>169953.4725</v>
      </c>
      <c r="AQ17" s="458">
        <f t="shared" si="22"/>
        <v>173023.755</v>
      </c>
      <c r="AR17" s="458">
        <f t="shared" si="22"/>
        <v>176110.355</v>
      </c>
      <c r="AS17" s="458">
        <f t="shared" si="22"/>
        <v>179782.555</v>
      </c>
      <c r="AT17" s="458">
        <f t="shared" si="22"/>
        <v>183202.52</v>
      </c>
      <c r="AU17" s="458">
        <f t="shared" si="22"/>
        <v>187045.52</v>
      </c>
      <c r="AV17" s="458">
        <f t="shared" si="22"/>
        <v>205905.5</v>
      </c>
      <c r="AW17" s="458">
        <f t="shared" si="22"/>
        <v>210122.5825</v>
      </c>
      <c r="AX17" s="458">
        <f t="shared" si="22"/>
        <v>214839.865</v>
      </c>
      <c r="AY17" s="458">
        <f t="shared" si="22"/>
        <v>219512.465</v>
      </c>
      <c r="AZ17" s="458">
        <f t="shared" si="22"/>
        <v>224461.5475</v>
      </c>
      <c r="BA17" s="459">
        <f t="shared" si="22"/>
        <v>229646.5475</v>
      </c>
      <c r="BB17" s="457">
        <f t="shared" si="22"/>
        <v>293887.447</v>
      </c>
      <c r="BC17" s="458">
        <f t="shared" si="22"/>
        <v>299625.41199999995</v>
      </c>
      <c r="BD17" s="458">
        <f t="shared" si="22"/>
        <v>306006.012</v>
      </c>
      <c r="BE17" s="458">
        <f t="shared" si="22"/>
        <v>312175.09449999995</v>
      </c>
      <c r="BF17" s="458">
        <f t="shared" si="22"/>
        <v>319791.85949999996</v>
      </c>
      <c r="BG17" s="458">
        <f t="shared" si="22"/>
        <v>326892.2595</v>
      </c>
      <c r="BH17" s="458">
        <f t="shared" si="22"/>
        <v>349760.2445</v>
      </c>
      <c r="BI17" s="458">
        <f t="shared" si="22"/>
        <v>357954.52699999994</v>
      </c>
      <c r="BJ17" s="458">
        <f t="shared" si="22"/>
        <v>366726.327</v>
      </c>
      <c r="BK17" s="458">
        <f t="shared" si="22"/>
        <v>376014.49199999997</v>
      </c>
      <c r="BL17" s="458">
        <f t="shared" si="22"/>
        <v>385331.17449999996</v>
      </c>
      <c r="BM17" s="459">
        <f t="shared" si="22"/>
        <v>395871.97449999995</v>
      </c>
    </row>
    <row r="18" spans="2:65" ht="16.05" customHeight="1" thickBot="1">
      <c r="B18" s="112" t="s">
        <v>186</v>
      </c>
      <c r="C18" s="526">
        <f aca="true" t="shared" si="23" ref="C18:D18">+C24*(1+$C$5)</f>
        <v>12370.901666666667</v>
      </c>
      <c r="D18" s="526">
        <f t="shared" si="23"/>
        <v>12370.901666666667</v>
      </c>
      <c r="E18" s="527">
        <f aca="true" t="shared" si="24" ref="E18:AJ18">+E24*(1+$C$5)</f>
        <v>12370.901666666667</v>
      </c>
      <c r="F18" s="461">
        <f t="shared" si="24"/>
        <v>3965</v>
      </c>
      <c r="G18" s="461">
        <f t="shared" si="24"/>
        <v>305</v>
      </c>
      <c r="H18" s="461">
        <f t="shared" si="24"/>
        <v>305</v>
      </c>
      <c r="I18" s="461">
        <f t="shared" si="24"/>
        <v>305</v>
      </c>
      <c r="J18" s="461">
        <f t="shared" si="24"/>
        <v>305</v>
      </c>
      <c r="K18" s="461">
        <f t="shared" si="24"/>
        <v>8113.2196</v>
      </c>
      <c r="L18" s="461">
        <f t="shared" si="24"/>
        <v>3354.9024</v>
      </c>
      <c r="M18" s="461">
        <f t="shared" si="24"/>
        <v>305</v>
      </c>
      <c r="N18" s="461">
        <f t="shared" si="24"/>
        <v>305</v>
      </c>
      <c r="O18" s="461">
        <f t="shared" si="24"/>
        <v>36816.83771666666</v>
      </c>
      <c r="P18" s="461">
        <f t="shared" si="24"/>
        <v>25146.17131666667</v>
      </c>
      <c r="Q18" s="462">
        <f t="shared" si="24"/>
        <v>25397.601116666665</v>
      </c>
      <c r="R18" s="460">
        <f t="shared" si="24"/>
        <v>69033.71952</v>
      </c>
      <c r="S18" s="461">
        <f t="shared" si="24"/>
        <v>40309.356320000006</v>
      </c>
      <c r="T18" s="461">
        <f t="shared" si="24"/>
        <v>40896.78632000001</v>
      </c>
      <c r="U18" s="461">
        <f t="shared" si="24"/>
        <v>41131.07512</v>
      </c>
      <c r="V18" s="461">
        <f t="shared" si="24"/>
        <v>41365.36392000001</v>
      </c>
      <c r="W18" s="461">
        <f t="shared" si="24"/>
        <v>41602.72712</v>
      </c>
      <c r="X18" s="461">
        <f t="shared" si="24"/>
        <v>46123.38832</v>
      </c>
      <c r="Y18" s="461">
        <f t="shared" si="24"/>
        <v>46364.573475</v>
      </c>
      <c r="Z18" s="461">
        <f t="shared" si="24"/>
        <v>46668.57307500001</v>
      </c>
      <c r="AA18" s="461">
        <f t="shared" si="24"/>
        <v>46906.448675</v>
      </c>
      <c r="AB18" s="461">
        <f t="shared" si="24"/>
        <v>47207.032275000005</v>
      </c>
      <c r="AC18" s="462">
        <f t="shared" si="24"/>
        <v>47517.92823000001</v>
      </c>
      <c r="AD18" s="460">
        <f t="shared" si="24"/>
        <v>117108.291965</v>
      </c>
      <c r="AE18" s="461">
        <f t="shared" si="24"/>
        <v>74713.31636499999</v>
      </c>
      <c r="AF18" s="461">
        <f t="shared" si="24"/>
        <v>75087.43272</v>
      </c>
      <c r="AG18" s="461">
        <f t="shared" si="24"/>
        <v>75389.55352</v>
      </c>
      <c r="AH18" s="461">
        <f t="shared" si="24"/>
        <v>75760.36032</v>
      </c>
      <c r="AI18" s="461">
        <f t="shared" si="24"/>
        <v>76135.50147499998</v>
      </c>
      <c r="AJ18" s="461">
        <f t="shared" si="24"/>
        <v>76507.33307499999</v>
      </c>
      <c r="AK18" s="461">
        <f aca="true" t="shared" si="25" ref="AK18:BM18">+AK24*(1+$C$5)</f>
        <v>76879.164675</v>
      </c>
      <c r="AL18" s="461">
        <f t="shared" si="25"/>
        <v>77324.01663</v>
      </c>
      <c r="AM18" s="461">
        <f t="shared" si="25"/>
        <v>77696.87303</v>
      </c>
      <c r="AN18" s="461">
        <f t="shared" si="25"/>
        <v>78201.63583</v>
      </c>
      <c r="AO18" s="462">
        <f t="shared" si="25"/>
        <v>78638.22502999999</v>
      </c>
      <c r="AP18" s="460">
        <f t="shared" si="25"/>
        <v>174757.296615</v>
      </c>
      <c r="AQ18" s="461">
        <f t="shared" si="25"/>
        <v>119149.98057</v>
      </c>
      <c r="AR18" s="461">
        <f t="shared" si="25"/>
        <v>119656.79296999998</v>
      </c>
      <c r="AS18" s="461">
        <f t="shared" si="25"/>
        <v>120232.80377</v>
      </c>
      <c r="AT18" s="461">
        <f t="shared" si="25"/>
        <v>120866.28327999999</v>
      </c>
      <c r="AU18" s="461">
        <f t="shared" si="25"/>
        <v>121493.48528</v>
      </c>
      <c r="AV18" s="461">
        <f t="shared" si="25"/>
        <v>131053.92499999997</v>
      </c>
      <c r="AW18" s="461">
        <f t="shared" si="25"/>
        <v>131814.46415499997</v>
      </c>
      <c r="AX18" s="461">
        <f t="shared" si="25"/>
        <v>132582.00611</v>
      </c>
      <c r="AY18" s="461">
        <f t="shared" si="25"/>
        <v>133342.82251</v>
      </c>
      <c r="AZ18" s="461">
        <f t="shared" si="25"/>
        <v>134174.609665</v>
      </c>
      <c r="BA18" s="462">
        <f t="shared" si="25"/>
        <v>135003.599665</v>
      </c>
      <c r="BB18" s="460">
        <f t="shared" si="25"/>
        <v>247314.34622466666</v>
      </c>
      <c r="BC18" s="461">
        <f t="shared" si="25"/>
        <v>190884.27773466666</v>
      </c>
      <c r="BD18" s="461">
        <f t="shared" si="25"/>
        <v>191913.00613466665</v>
      </c>
      <c r="BE18" s="461">
        <f t="shared" si="25"/>
        <v>192883.87328966663</v>
      </c>
      <c r="BF18" s="461">
        <f t="shared" si="25"/>
        <v>194112.90799966664</v>
      </c>
      <c r="BG18" s="461">
        <f t="shared" si="25"/>
        <v>195261.51359966665</v>
      </c>
      <c r="BH18" s="461">
        <f t="shared" si="25"/>
        <v>205427.06538966662</v>
      </c>
      <c r="BI18" s="461">
        <f t="shared" si="25"/>
        <v>206719.08534466664</v>
      </c>
      <c r="BJ18" s="461">
        <f t="shared" si="25"/>
        <v>208135.09054466666</v>
      </c>
      <c r="BK18" s="461">
        <f t="shared" si="25"/>
        <v>209570.52485466664</v>
      </c>
      <c r="BL18" s="461">
        <f t="shared" si="25"/>
        <v>211061.25840966665</v>
      </c>
      <c r="BM18" s="462">
        <f t="shared" si="25"/>
        <v>212685.02960966664</v>
      </c>
    </row>
    <row r="19" spans="21:58" ht="16.05" customHeight="1" thickBot="1">
      <c r="U19" s="91"/>
      <c r="V19" s="91"/>
      <c r="AG19" s="91"/>
      <c r="AH19" s="91"/>
      <c r="AS19" s="91"/>
      <c r="AT19" s="91"/>
      <c r="BE19" s="91"/>
      <c r="BF19" s="91"/>
    </row>
    <row r="20" spans="2:65" s="52" customFormat="1" ht="34.95" customHeight="1">
      <c r="B20" s="1603" t="s">
        <v>201</v>
      </c>
      <c r="C20" s="1619">
        <f>+C14</f>
        <v>2019</v>
      </c>
      <c r="D20" s="1620"/>
      <c r="E20" s="1621">
        <f>+C14</f>
        <v>2019</v>
      </c>
      <c r="F20" s="1579">
        <f>+E20+1</f>
        <v>2020</v>
      </c>
      <c r="G20" s="1579"/>
      <c r="H20" s="1579"/>
      <c r="I20" s="1579"/>
      <c r="J20" s="1579"/>
      <c r="K20" s="1579"/>
      <c r="L20" s="1579"/>
      <c r="M20" s="1579"/>
      <c r="N20" s="1579"/>
      <c r="O20" s="1579"/>
      <c r="P20" s="1579"/>
      <c r="Q20" s="1580"/>
      <c r="R20" s="1595">
        <f>1+F20</f>
        <v>2021</v>
      </c>
      <c r="S20" s="1579"/>
      <c r="T20" s="1579"/>
      <c r="U20" s="1579"/>
      <c r="V20" s="1579"/>
      <c r="W20" s="1579"/>
      <c r="X20" s="1579"/>
      <c r="Y20" s="1579"/>
      <c r="Z20" s="1579"/>
      <c r="AA20" s="1579"/>
      <c r="AB20" s="1579"/>
      <c r="AC20" s="1580"/>
      <c r="AD20" s="1595">
        <f>1+R20</f>
        <v>2022</v>
      </c>
      <c r="AE20" s="1579"/>
      <c r="AF20" s="1579"/>
      <c r="AG20" s="1579"/>
      <c r="AH20" s="1579"/>
      <c r="AI20" s="1579"/>
      <c r="AJ20" s="1579"/>
      <c r="AK20" s="1579"/>
      <c r="AL20" s="1579"/>
      <c r="AM20" s="1579"/>
      <c r="AN20" s="1579"/>
      <c r="AO20" s="1580"/>
      <c r="AP20" s="1595">
        <f>1+AD20</f>
        <v>2023</v>
      </c>
      <c r="AQ20" s="1579"/>
      <c r="AR20" s="1579"/>
      <c r="AS20" s="1579"/>
      <c r="AT20" s="1579"/>
      <c r="AU20" s="1579"/>
      <c r="AV20" s="1579"/>
      <c r="AW20" s="1579"/>
      <c r="AX20" s="1579"/>
      <c r="AY20" s="1579"/>
      <c r="AZ20" s="1579"/>
      <c r="BA20" s="1580"/>
      <c r="BB20" s="1595">
        <f>1+AP20</f>
        <v>2024</v>
      </c>
      <c r="BC20" s="1579"/>
      <c r="BD20" s="1579"/>
      <c r="BE20" s="1579"/>
      <c r="BF20" s="1579"/>
      <c r="BG20" s="1579"/>
      <c r="BH20" s="1579"/>
      <c r="BI20" s="1579"/>
      <c r="BJ20" s="1579"/>
      <c r="BK20" s="1579"/>
      <c r="BL20" s="1579"/>
      <c r="BM20" s="1580"/>
    </row>
    <row r="21" spans="2:65" s="52" customFormat="1" ht="16.2" thickBot="1">
      <c r="B21" s="1604"/>
      <c r="C21" s="1622"/>
      <c r="D21" s="1623"/>
      <c r="E21" s="1624"/>
      <c r="F21" s="1581"/>
      <c r="G21" s="1581"/>
      <c r="H21" s="1581"/>
      <c r="I21" s="1581"/>
      <c r="J21" s="1581"/>
      <c r="K21" s="1581"/>
      <c r="L21" s="1581"/>
      <c r="M21" s="1581"/>
      <c r="N21" s="1581"/>
      <c r="O21" s="1581"/>
      <c r="P21" s="1581"/>
      <c r="Q21" s="1582"/>
      <c r="R21" s="1596"/>
      <c r="S21" s="1581"/>
      <c r="T21" s="1581"/>
      <c r="U21" s="1581"/>
      <c r="V21" s="1581"/>
      <c r="W21" s="1581"/>
      <c r="X21" s="1581"/>
      <c r="Y21" s="1581"/>
      <c r="Z21" s="1581"/>
      <c r="AA21" s="1581"/>
      <c r="AB21" s="1581"/>
      <c r="AC21" s="1582"/>
      <c r="AD21" s="1596"/>
      <c r="AE21" s="1581"/>
      <c r="AF21" s="1581"/>
      <c r="AG21" s="1581"/>
      <c r="AH21" s="1581"/>
      <c r="AI21" s="1581"/>
      <c r="AJ21" s="1581"/>
      <c r="AK21" s="1581"/>
      <c r="AL21" s="1581"/>
      <c r="AM21" s="1581"/>
      <c r="AN21" s="1581"/>
      <c r="AO21" s="1582"/>
      <c r="AP21" s="1596"/>
      <c r="AQ21" s="1581"/>
      <c r="AR21" s="1581"/>
      <c r="AS21" s="1581"/>
      <c r="AT21" s="1581"/>
      <c r="AU21" s="1581"/>
      <c r="AV21" s="1581"/>
      <c r="AW21" s="1581"/>
      <c r="AX21" s="1581"/>
      <c r="AY21" s="1581"/>
      <c r="AZ21" s="1581"/>
      <c r="BA21" s="1582"/>
      <c r="BB21" s="1596"/>
      <c r="BC21" s="1581"/>
      <c r="BD21" s="1581"/>
      <c r="BE21" s="1581"/>
      <c r="BF21" s="1581"/>
      <c r="BG21" s="1581"/>
      <c r="BH21" s="1581"/>
      <c r="BI21" s="1581"/>
      <c r="BJ21" s="1581"/>
      <c r="BK21" s="1581"/>
      <c r="BL21" s="1581"/>
      <c r="BM21" s="1582"/>
    </row>
    <row r="22" spans="2:65" s="52" customFormat="1" ht="16.2" thickBot="1">
      <c r="B22" s="1605"/>
      <c r="C22" s="275" t="s">
        <v>195</v>
      </c>
      <c r="D22" s="275" t="s">
        <v>196</v>
      </c>
      <c r="E22" s="524" t="s">
        <v>197</v>
      </c>
      <c r="F22" s="275" t="s">
        <v>187</v>
      </c>
      <c r="G22" s="275" t="s">
        <v>188</v>
      </c>
      <c r="H22" s="275" t="s">
        <v>189</v>
      </c>
      <c r="I22" s="275" t="s">
        <v>190</v>
      </c>
      <c r="J22" s="275" t="s">
        <v>8</v>
      </c>
      <c r="K22" s="275" t="s">
        <v>191</v>
      </c>
      <c r="L22" s="275" t="s">
        <v>192</v>
      </c>
      <c r="M22" s="275" t="s">
        <v>193</v>
      </c>
      <c r="N22" s="275" t="s">
        <v>194</v>
      </c>
      <c r="O22" s="275" t="s">
        <v>195</v>
      </c>
      <c r="P22" s="275" t="s">
        <v>196</v>
      </c>
      <c r="Q22" s="276" t="s">
        <v>197</v>
      </c>
      <c r="R22" s="274" t="s">
        <v>187</v>
      </c>
      <c r="S22" s="275" t="s">
        <v>188</v>
      </c>
      <c r="T22" s="275" t="s">
        <v>189</v>
      </c>
      <c r="U22" s="275" t="s">
        <v>190</v>
      </c>
      <c r="V22" s="275" t="s">
        <v>8</v>
      </c>
      <c r="W22" s="275" t="s">
        <v>191</v>
      </c>
      <c r="X22" s="275" t="s">
        <v>192</v>
      </c>
      <c r="Y22" s="275" t="s">
        <v>193</v>
      </c>
      <c r="Z22" s="275" t="s">
        <v>194</v>
      </c>
      <c r="AA22" s="275" t="s">
        <v>195</v>
      </c>
      <c r="AB22" s="275" t="s">
        <v>196</v>
      </c>
      <c r="AC22" s="276" t="s">
        <v>197</v>
      </c>
      <c r="AD22" s="274" t="s">
        <v>187</v>
      </c>
      <c r="AE22" s="275" t="s">
        <v>188</v>
      </c>
      <c r="AF22" s="275" t="s">
        <v>189</v>
      </c>
      <c r="AG22" s="275" t="s">
        <v>190</v>
      </c>
      <c r="AH22" s="275" t="s">
        <v>8</v>
      </c>
      <c r="AI22" s="275" t="s">
        <v>191</v>
      </c>
      <c r="AJ22" s="275" t="s">
        <v>192</v>
      </c>
      <c r="AK22" s="275" t="s">
        <v>193</v>
      </c>
      <c r="AL22" s="275" t="s">
        <v>194</v>
      </c>
      <c r="AM22" s="275" t="s">
        <v>195</v>
      </c>
      <c r="AN22" s="275" t="s">
        <v>196</v>
      </c>
      <c r="AO22" s="276" t="s">
        <v>197</v>
      </c>
      <c r="AP22" s="274" t="s">
        <v>187</v>
      </c>
      <c r="AQ22" s="275" t="s">
        <v>188</v>
      </c>
      <c r="AR22" s="275" t="s">
        <v>189</v>
      </c>
      <c r="AS22" s="275" t="s">
        <v>190</v>
      </c>
      <c r="AT22" s="275" t="s">
        <v>8</v>
      </c>
      <c r="AU22" s="275" t="s">
        <v>191</v>
      </c>
      <c r="AV22" s="275" t="s">
        <v>192</v>
      </c>
      <c r="AW22" s="275" t="s">
        <v>193</v>
      </c>
      <c r="AX22" s="275" t="s">
        <v>194</v>
      </c>
      <c r="AY22" s="275" t="s">
        <v>195</v>
      </c>
      <c r="AZ22" s="275" t="s">
        <v>196</v>
      </c>
      <c r="BA22" s="276" t="s">
        <v>197</v>
      </c>
      <c r="BB22" s="414" t="s">
        <v>187</v>
      </c>
      <c r="BC22" s="275" t="s">
        <v>188</v>
      </c>
      <c r="BD22" s="275" t="s">
        <v>189</v>
      </c>
      <c r="BE22" s="275" t="s">
        <v>190</v>
      </c>
      <c r="BF22" s="275" t="s">
        <v>8</v>
      </c>
      <c r="BG22" s="275" t="s">
        <v>191</v>
      </c>
      <c r="BH22" s="275" t="s">
        <v>192</v>
      </c>
      <c r="BI22" s="275" t="s">
        <v>193</v>
      </c>
      <c r="BJ22" s="275" t="s">
        <v>194</v>
      </c>
      <c r="BK22" s="275" t="s">
        <v>195</v>
      </c>
      <c r="BL22" s="275" t="s">
        <v>196</v>
      </c>
      <c r="BM22" s="415" t="s">
        <v>197</v>
      </c>
    </row>
    <row r="23" spans="2:65" ht="16.05" customHeight="1">
      <c r="B23" s="103" t="s">
        <v>170</v>
      </c>
      <c r="C23" s="232">
        <f>+'Income Statement'!$D$5/12</f>
        <v>2075.25</v>
      </c>
      <c r="D23" s="232">
        <f>+'Income Statement'!$D$5/12</f>
        <v>2075.25</v>
      </c>
      <c r="E23" s="300">
        <f>+'Income Statement'!$D$5/12</f>
        <v>2075.25</v>
      </c>
      <c r="F23" s="457">
        <f>+'Income Statement'!E5</f>
        <v>0</v>
      </c>
      <c r="G23" s="458">
        <f>+'Income Statement'!F5</f>
        <v>0</v>
      </c>
      <c r="H23" s="458">
        <f>+'Income Statement'!G5</f>
        <v>0</v>
      </c>
      <c r="I23" s="458">
        <f>+'Income Statement'!H5</f>
        <v>0</v>
      </c>
      <c r="J23" s="458">
        <f>+'Income Statement'!I5</f>
        <v>0</v>
      </c>
      <c r="K23" s="458">
        <f>+'Income Statement'!J5</f>
        <v>8370</v>
      </c>
      <c r="L23" s="458">
        <f>+'Income Statement'!K5</f>
        <v>2780</v>
      </c>
      <c r="M23" s="458">
        <f>+'Income Statement'!L5</f>
        <v>0</v>
      </c>
      <c r="N23" s="458">
        <f>+'Income Statement'!M5</f>
        <v>0</v>
      </c>
      <c r="O23" s="458">
        <f>+'Income Statement'!N5</f>
        <v>16028.75</v>
      </c>
      <c r="P23" s="458">
        <f>+'Income Statement'!O5</f>
        <v>18448.75</v>
      </c>
      <c r="Q23" s="459">
        <f>+'Income Statement'!P5</f>
        <v>18883.75</v>
      </c>
      <c r="R23" s="457">
        <f>+'Income Statement'!Q5</f>
        <v>34644</v>
      </c>
      <c r="S23" s="458">
        <f>+'Income Statement'!R5</f>
        <v>38604</v>
      </c>
      <c r="T23" s="458">
        <f>+'Income Statement'!S5</f>
        <v>40854</v>
      </c>
      <c r="U23" s="458">
        <f>+'Income Statement'!T5</f>
        <v>41714</v>
      </c>
      <c r="V23" s="458">
        <f>+'Income Statement'!U5</f>
        <v>42574</v>
      </c>
      <c r="W23" s="458">
        <f>+'Income Statement'!V5</f>
        <v>43614</v>
      </c>
      <c r="X23" s="458">
        <f>+'Income Statement'!W5</f>
        <v>49004</v>
      </c>
      <c r="Y23" s="458">
        <f>+'Income Statement'!X5</f>
        <v>49910.625</v>
      </c>
      <c r="Z23" s="458">
        <f>+'Income Statement'!Y5</f>
        <v>51280.625</v>
      </c>
      <c r="AA23" s="458">
        <f>+'Income Statement'!Z5</f>
        <v>52350.625</v>
      </c>
      <c r="AB23" s="458">
        <f>+'Income Statement'!AA5</f>
        <v>53520.625</v>
      </c>
      <c r="AC23" s="459">
        <f>+'Income Statement'!AB5</f>
        <v>54937.25</v>
      </c>
      <c r="AD23" s="457">
        <f>+'Income Statement'!AC5</f>
        <v>81957.375</v>
      </c>
      <c r="AE23" s="458">
        <f>+'Income Statement'!AD5</f>
        <v>83387.375</v>
      </c>
      <c r="AF23" s="458">
        <f>+'Income Statement'!AE5</f>
        <v>84934</v>
      </c>
      <c r="AG23" s="458">
        <f>+'Income Statement'!AF5</f>
        <v>86194</v>
      </c>
      <c r="AH23" s="458">
        <f>+'Income Statement'!AG5</f>
        <v>87904</v>
      </c>
      <c r="AI23" s="458">
        <f>+'Income Statement'!AH5</f>
        <v>89510.625</v>
      </c>
      <c r="AJ23" s="458">
        <f>+'Income Statement'!AI5</f>
        <v>91280.625</v>
      </c>
      <c r="AK23" s="458">
        <f>+'Income Statement'!AJ5</f>
        <v>93050.625</v>
      </c>
      <c r="AL23" s="458">
        <f>+'Income Statement'!AK5</f>
        <v>95167.25</v>
      </c>
      <c r="AM23" s="458">
        <f>+'Income Statement'!AL5</f>
        <v>96997.25</v>
      </c>
      <c r="AN23" s="458">
        <f>+'Income Statement'!AM5</f>
        <v>99407.25</v>
      </c>
      <c r="AO23" s="459">
        <f>+'Income Statement'!AN5</f>
        <v>101397.25</v>
      </c>
      <c r="AP23" s="457">
        <f>+'Income Statement'!AO5</f>
        <v>139306.125</v>
      </c>
      <c r="AQ23" s="458">
        <f>+'Income Statement'!AP5</f>
        <v>141822.75</v>
      </c>
      <c r="AR23" s="458">
        <f>+'Income Statement'!AQ5</f>
        <v>144352.75</v>
      </c>
      <c r="AS23" s="458">
        <f>+'Income Statement'!AR5</f>
        <v>147362.75</v>
      </c>
      <c r="AT23" s="458">
        <f>+'Income Statement'!AS5</f>
        <v>150166</v>
      </c>
      <c r="AU23" s="458">
        <f>+'Income Statement'!AT5</f>
        <v>153316</v>
      </c>
      <c r="AV23" s="458">
        <f>+'Income Statement'!AU5</f>
        <v>168775</v>
      </c>
      <c r="AW23" s="458">
        <f>+'Income Statement'!AV5</f>
        <v>172231.625</v>
      </c>
      <c r="AX23" s="458">
        <f>+'Income Statement'!AW5</f>
        <v>176098.25</v>
      </c>
      <c r="AY23" s="458">
        <f>+'Income Statement'!AX5</f>
        <v>179928.25</v>
      </c>
      <c r="AZ23" s="458">
        <f>+'Income Statement'!AY5</f>
        <v>183984.875</v>
      </c>
      <c r="BA23" s="459">
        <f>+'Income Statement'!AZ5</f>
        <v>188234.875</v>
      </c>
      <c r="BB23" s="457">
        <f>+'Income Statement'!BA5</f>
        <v>240891.34999999998</v>
      </c>
      <c r="BC23" s="458">
        <f>+'Income Statement'!BB5</f>
        <v>245594.59999999998</v>
      </c>
      <c r="BD23" s="458">
        <f>+'Income Statement'!BC5</f>
        <v>250824.59999999998</v>
      </c>
      <c r="BE23" s="458">
        <f>+'Income Statement'!BD5</f>
        <v>255881.22499999998</v>
      </c>
      <c r="BF23" s="458">
        <f>+'Income Statement'!BE5</f>
        <v>262124.47499999998</v>
      </c>
      <c r="BG23" s="458">
        <f>+'Income Statement'!BF5</f>
        <v>267944.475</v>
      </c>
      <c r="BH23" s="458">
        <f>+'Income Statement'!BG5</f>
        <v>286688.725</v>
      </c>
      <c r="BI23" s="458">
        <f>+'Income Statement'!BH5</f>
        <v>293405.35</v>
      </c>
      <c r="BJ23" s="458">
        <f>+'Income Statement'!BI5</f>
        <v>300595.35</v>
      </c>
      <c r="BK23" s="458">
        <f>+'Income Statement'!BJ5</f>
        <v>308208.6</v>
      </c>
      <c r="BL23" s="458">
        <f>+'Income Statement'!BK5</f>
        <v>315845.225</v>
      </c>
      <c r="BM23" s="459">
        <f>+'Income Statement'!BL5</f>
        <v>324485.225</v>
      </c>
    </row>
    <row r="24" spans="2:65" ht="16.05" customHeight="1" thickBot="1">
      <c r="B24" s="112" t="s">
        <v>186</v>
      </c>
      <c r="C24" s="526">
        <f>+('Income Statement'!$D$12+'Income Statement'!$D$19-'Income Statement'!$D$43+'D&amp;A'!$D$8+'D&amp;A'!$D$37)/12</f>
        <v>10140.083333333334</v>
      </c>
      <c r="D24" s="526">
        <f>+('Income Statement'!$D$12+'Income Statement'!$D$19-'Income Statement'!$D$43+'D&amp;A'!$D$8+'D&amp;A'!$D$37)/12</f>
        <v>10140.083333333334</v>
      </c>
      <c r="E24" s="527">
        <f>+('Income Statement'!$D$12+'Income Statement'!$D$19-'Income Statement'!$D$43+'D&amp;A'!$D$8+'D&amp;A'!$D$37)/12</f>
        <v>10140.083333333334</v>
      </c>
      <c r="F24" s="460">
        <f>+('Income Statement'!E20+'Income Statement'!E27+'Income Statement'!E32+'Income Statement'!E12+'D&amp;A'!E8+'D&amp;A'!E37-'D&amp;A'!E14)</f>
        <v>3250</v>
      </c>
      <c r="G24" s="461">
        <f>+('Income Statement'!F20+'Income Statement'!F27+'Income Statement'!F32+'Income Statement'!F12+'D&amp;A'!F8+'D&amp;A'!F37-'D&amp;A'!F14)</f>
        <v>250</v>
      </c>
      <c r="H24" s="461">
        <f>+('Income Statement'!G20+'Income Statement'!G27+'Income Statement'!G32+'Income Statement'!G12+'D&amp;A'!G8+'D&amp;A'!G37-'D&amp;A'!G14)</f>
        <v>250</v>
      </c>
      <c r="I24" s="461">
        <f>+('Income Statement'!H20+'Income Statement'!H27+'Income Statement'!H32+'Income Statement'!H12+'D&amp;A'!H8+'D&amp;A'!H37-'D&amp;A'!H14)</f>
        <v>250</v>
      </c>
      <c r="J24" s="461">
        <f>+('Income Statement'!I20+'Income Statement'!I27+'Income Statement'!I32+'Income Statement'!I12+'D&amp;A'!I8+'D&amp;A'!I37-'D&amp;A'!I14)</f>
        <v>250</v>
      </c>
      <c r="K24" s="461">
        <f>+('Income Statement'!J20+'Income Statement'!J27+'Income Statement'!J32+'Income Statement'!J12+'D&amp;A'!J8+'D&amp;A'!J37-'D&amp;A'!J14)</f>
        <v>6650.18</v>
      </c>
      <c r="L24" s="461">
        <f>+('Income Statement'!K20+'Income Statement'!K27+'Income Statement'!K32+'Income Statement'!K12+'D&amp;A'!K8+'D&amp;A'!K37-'D&amp;A'!K14)</f>
        <v>2749.92</v>
      </c>
      <c r="M24" s="461">
        <f>+('Income Statement'!L20+'Income Statement'!L27+'Income Statement'!L32+'Income Statement'!L12+'D&amp;A'!L8+'D&amp;A'!L37-'D&amp;A'!L14)</f>
        <v>250</v>
      </c>
      <c r="N24" s="461">
        <f>+('Income Statement'!M20+'Income Statement'!M27+'Income Statement'!M32+'Income Statement'!M12+'D&amp;A'!M8+'D&amp;A'!M37-'D&amp;A'!M14)</f>
        <v>250</v>
      </c>
      <c r="O24" s="461">
        <f>+('Income Statement'!N20+'Income Statement'!N27+'Income Statement'!N32+'Income Statement'!N12+'D&amp;A'!N8+'D&amp;A'!N37-'D&amp;A'!N14)</f>
        <v>30177.735833333332</v>
      </c>
      <c r="P24" s="461">
        <f>+('Income Statement'!O20+'Income Statement'!O27+'Income Statement'!O32+'Income Statement'!O12+'D&amp;A'!O8+'D&amp;A'!O37-'D&amp;A'!O14)</f>
        <v>20611.615833333337</v>
      </c>
      <c r="Q24" s="462">
        <f>+('Income Statement'!P20+'Income Statement'!P27+'Income Statement'!P32+'Income Statement'!P12+'D&amp;A'!P8+'D&amp;A'!P37-'D&amp;A'!P14)</f>
        <v>20817.705833333333</v>
      </c>
      <c r="R24" s="460">
        <f>+('Income Statement'!Q20+'Income Statement'!Q27+'Income Statement'!Q32+'Income Statement'!Q12+'D&amp;A'!Q8+'D&amp;A'!Q37-'D&amp;A'!Q14)</f>
        <v>56585.016</v>
      </c>
      <c r="S24" s="461">
        <f>+('Income Statement'!R20+'Income Statement'!R27+'Income Statement'!R32+'Income Statement'!R12+'D&amp;A'!R8+'D&amp;A'!R37-'D&amp;A'!R14)</f>
        <v>33040.456000000006</v>
      </c>
      <c r="T24" s="461">
        <f>+('Income Statement'!S20+'Income Statement'!S27+'Income Statement'!S32+'Income Statement'!S12+'D&amp;A'!S8+'D&amp;A'!S37-'D&amp;A'!S14)</f>
        <v>33521.956000000006</v>
      </c>
      <c r="U24" s="461">
        <f>+('Income Statement'!T20+'Income Statement'!T27+'Income Statement'!T32+'Income Statement'!T12+'D&amp;A'!T8+'D&amp;A'!T37-'D&amp;A'!T14)</f>
        <v>33713.996</v>
      </c>
      <c r="V24" s="461">
        <f>+('Income Statement'!U20+'Income Statement'!U27+'Income Statement'!U32+'Income Statement'!U12+'D&amp;A'!U8+'D&amp;A'!U37-'D&amp;A'!U14)</f>
        <v>33906.03600000001</v>
      </c>
      <c r="W24" s="461">
        <f>+('Income Statement'!V20+'Income Statement'!V27+'Income Statement'!V32+'Income Statement'!V12+'D&amp;A'!V8+'D&amp;A'!V37-'D&amp;A'!V14)</f>
        <v>34100.596000000005</v>
      </c>
      <c r="X24" s="461">
        <f>+('Income Statement'!W20+'Income Statement'!W27+'Income Statement'!W32+'Income Statement'!W12+'D&amp;A'!W8+'D&amp;A'!W37-'D&amp;A'!W14)</f>
        <v>37806.056</v>
      </c>
      <c r="Y24" s="461">
        <f>+('Income Statement'!X20+'Income Statement'!X27+'Income Statement'!X32+'Income Statement'!X12+'D&amp;A'!X8+'D&amp;A'!X37-'D&amp;A'!X14)</f>
        <v>38003.74875</v>
      </c>
      <c r="Z24" s="461">
        <f>+('Income Statement'!Y20+'Income Statement'!Y27+'Income Statement'!Y32+'Income Statement'!Y12+'D&amp;A'!Y8+'D&amp;A'!Y37-'D&amp;A'!Y14)</f>
        <v>38252.92875000001</v>
      </c>
      <c r="AA24" s="461">
        <f>+('Income Statement'!Z20+'Income Statement'!Z27+'Income Statement'!Z32+'Income Statement'!Z12+'D&amp;A'!Z8+'D&amp;A'!Z37-'D&amp;A'!Z14)</f>
        <v>38447.90875</v>
      </c>
      <c r="AB24" s="461">
        <f>+('Income Statement'!AA20+'Income Statement'!AA27+'Income Statement'!AA32+'Income Statement'!AA12+'D&amp;A'!AA8+'D&amp;A'!AA37-'D&amp;A'!AA14)</f>
        <v>38694.28875000001</v>
      </c>
      <c r="AC24" s="462">
        <f>+('Income Statement'!AB20+'Income Statement'!AB27+'Income Statement'!AB32+'Income Statement'!AB12+'D&amp;A'!AB8+'D&amp;A'!AB37-'D&amp;A'!AB14)</f>
        <v>38949.12150000001</v>
      </c>
      <c r="AD24" s="460">
        <f>+('Income Statement'!AC20+'Income Statement'!AC27+'Income Statement'!AC32+'Income Statement'!AC12+'D&amp;A'!AC8+'D&amp;A'!AC37-'D&amp;A'!AC14)</f>
        <v>95990.40325</v>
      </c>
      <c r="AE24" s="461">
        <f>+('Income Statement'!AD20+'Income Statement'!AD27+'Income Statement'!AD32+'Income Statement'!AD12+'D&amp;A'!AD8+'D&amp;A'!AD37-'D&amp;A'!AD14)</f>
        <v>61240.42324999999</v>
      </c>
      <c r="AF24" s="461">
        <f>+('Income Statement'!AE20+'Income Statement'!AE27+'Income Statement'!AE32+'Income Statement'!AE12+'D&amp;A'!AE8+'D&amp;A'!AE37-'D&amp;A'!AE14)</f>
        <v>61547.076</v>
      </c>
      <c r="AG24" s="461">
        <f>+('Income Statement'!AF20+'Income Statement'!AF27+'Income Statement'!AF32+'Income Statement'!AF12+'D&amp;A'!AF8+'D&amp;A'!AF37-'D&amp;A'!AF14)</f>
        <v>61794.716</v>
      </c>
      <c r="AH24" s="461">
        <f>+('Income Statement'!AG20+'Income Statement'!AG27+'Income Statement'!AG32+'Income Statement'!AG12+'D&amp;A'!AG8+'D&amp;A'!AG37-'D&amp;A'!AG14)</f>
        <v>62098.656</v>
      </c>
      <c r="AI24" s="461">
        <f>+('Income Statement'!AH20+'Income Statement'!AH27+'Income Statement'!AH32+'Income Statement'!AH12+'D&amp;A'!AH8+'D&amp;A'!AH37-'D&amp;A'!AH14)</f>
        <v>62406.14874999999</v>
      </c>
      <c r="AJ24" s="461">
        <f>+('Income Statement'!AI20+'Income Statement'!AI27+'Income Statement'!AI32+'Income Statement'!AI12+'D&amp;A'!AI8+'D&amp;A'!AI37-'D&amp;A'!AI14)</f>
        <v>62710.92874999999</v>
      </c>
      <c r="AK24" s="461">
        <f>+('Income Statement'!AJ20+'Income Statement'!AJ27+'Income Statement'!AJ32+'Income Statement'!AJ12+'D&amp;A'!AJ8+'D&amp;A'!AJ37-'D&amp;A'!AJ14)</f>
        <v>63015.708750000005</v>
      </c>
      <c r="AL24" s="461">
        <f>+('Income Statement'!AK20+'Income Statement'!AK27+'Income Statement'!AK32+'Income Statement'!AK12+'D&amp;A'!AK8+'D&amp;A'!AK37-'D&amp;A'!AK14)</f>
        <v>63380.341499999995</v>
      </c>
      <c r="AM24" s="461">
        <f>+('Income Statement'!AL20+'Income Statement'!AL27+'Income Statement'!AL32+'Income Statement'!AL12+'D&amp;A'!AL8+'D&amp;A'!AL37-'D&amp;A'!AL14)</f>
        <v>63685.961500000005</v>
      </c>
      <c r="AN24" s="461">
        <f>+('Income Statement'!AM20+'Income Statement'!AM27+'Income Statement'!AM32+'Income Statement'!AM12+'D&amp;A'!AM8+'D&amp;A'!AM37-'D&amp;A'!AM14)</f>
        <v>64099.701499999996</v>
      </c>
      <c r="AO24" s="462">
        <f>+('Income Statement'!AN20+'Income Statement'!AN27+'Income Statement'!AN32+'Income Statement'!AN12+'D&amp;A'!AN8+'D&amp;A'!AN37-'D&amp;A'!AN14)</f>
        <v>64457.561499999996</v>
      </c>
      <c r="AP24" s="460">
        <f>+('Income Statement'!AO20+'Income Statement'!AO27+'Income Statement'!AO32+'Income Statement'!AO12+'D&amp;A'!AO8+'D&amp;A'!AO37-'D&amp;A'!AO14)</f>
        <v>143243.68575</v>
      </c>
      <c r="AQ24" s="461">
        <f>+('Income Statement'!AP20+'Income Statement'!AP27+'Income Statement'!AP32+'Income Statement'!AP12+'D&amp;A'!AP8+'D&amp;A'!AP37-'D&amp;A'!AP14)</f>
        <v>97663.9185</v>
      </c>
      <c r="AR24" s="461">
        <f>+('Income Statement'!AQ20+'Income Statement'!AQ27+'Income Statement'!AQ32+'Income Statement'!AQ12+'D&amp;A'!AQ8+'D&amp;A'!AQ37-'D&amp;A'!AQ14)</f>
        <v>98079.33849999998</v>
      </c>
      <c r="AS24" s="461">
        <f>+('Income Statement'!AR20+'Income Statement'!AR27+'Income Statement'!AR32+'Income Statement'!AR12+'D&amp;A'!AR8+'D&amp;A'!AR37-'D&amp;A'!AR14)</f>
        <v>98551.4785</v>
      </c>
      <c r="AT24" s="461">
        <f>+('Income Statement'!AS20+'Income Statement'!AS27+'Income Statement'!AS32+'Income Statement'!AS12+'D&amp;A'!AS8+'D&amp;A'!AS37-'D&amp;A'!AS14)</f>
        <v>99070.72399999999</v>
      </c>
      <c r="AU24" s="461">
        <f>+('Income Statement'!AT20+'Income Statement'!AT27+'Income Statement'!AT32+'Income Statement'!AT12+'D&amp;A'!AT8+'D&amp;A'!AT37-'D&amp;A'!AT14)</f>
        <v>99584.824</v>
      </c>
      <c r="AV24" s="461">
        <f>+('Income Statement'!AU20+'Income Statement'!AU27+'Income Statement'!AU32+'Income Statement'!AU12+'D&amp;A'!AU8+'D&amp;A'!AU37-'D&amp;A'!AU14)</f>
        <v>107421.24999999999</v>
      </c>
      <c r="AW24" s="461">
        <f>+('Income Statement'!AV20+'Income Statement'!AV27+'Income Statement'!AV32+'Income Statement'!AV12+'D&amp;A'!AV8+'D&amp;A'!AV37-'D&amp;A'!AV14)</f>
        <v>108044.64274999998</v>
      </c>
      <c r="AX24" s="461">
        <f>+('Income Statement'!AW20+'Income Statement'!AW27+'Income Statement'!AW32+'Income Statement'!AW12+'D&amp;A'!AW8+'D&amp;A'!AW37-'D&amp;A'!AW14)</f>
        <v>108673.7755</v>
      </c>
      <c r="AY24" s="461">
        <f>+('Income Statement'!AX20+'Income Statement'!AX27+'Income Statement'!AX32+'Income Statement'!AX12+'D&amp;A'!AX8+'D&amp;A'!AX37-'D&amp;A'!AX14)</f>
        <v>109297.3955</v>
      </c>
      <c r="AZ24" s="461">
        <f>+('Income Statement'!AY20+'Income Statement'!AY27+'Income Statement'!AY32+'Income Statement'!AY12+'D&amp;A'!AY8+'D&amp;A'!AY37-'D&amp;A'!AY14)</f>
        <v>109979.18824999999</v>
      </c>
      <c r="BA24" s="462">
        <f>+('Income Statement'!AZ20+'Income Statement'!AZ27+'Income Statement'!AZ32+'Income Statement'!AZ12+'D&amp;A'!AZ8+'D&amp;A'!AZ37-'D&amp;A'!AZ14)</f>
        <v>110658.68824999999</v>
      </c>
      <c r="BB24" s="460">
        <f>+('Income Statement'!BA20+'Income Statement'!BA27+'Income Statement'!BA32+'Income Statement'!BA12+'D&amp;A'!BA8+'D&amp;A'!BA37-'D&amp;A'!BA14)</f>
        <v>202716.67723333332</v>
      </c>
      <c r="BC24" s="461">
        <f>+('Income Statement'!BB20+'Income Statement'!BB27+'Income Statement'!BB32+'Income Statement'!BB12+'D&amp;A'!BB8+'D&amp;A'!BB37-'D&amp;A'!BB14)</f>
        <v>156462.52273333332</v>
      </c>
      <c r="BD24" s="461">
        <f>+('Income Statement'!BC20+'Income Statement'!BC27+'Income Statement'!BC32+'Income Statement'!BC12+'D&amp;A'!BC8+'D&amp;A'!BC37-'D&amp;A'!BC14)</f>
        <v>157305.74273333332</v>
      </c>
      <c r="BE24" s="461">
        <f>+('Income Statement'!BD20+'Income Statement'!BD27+'Income Statement'!BD32+'Income Statement'!BD12+'D&amp;A'!BD8+'D&amp;A'!BD37-'D&amp;A'!BD14)</f>
        <v>158101.5354833333</v>
      </c>
      <c r="BF24" s="461">
        <f>+('Income Statement'!BE20+'Income Statement'!BE27+'Income Statement'!BE32+'Income Statement'!BE12+'D&amp;A'!BE8+'D&amp;A'!BE37-'D&amp;A'!BE14)</f>
        <v>159108.9409833333</v>
      </c>
      <c r="BG24" s="461">
        <f>+('Income Statement'!BF20+'Income Statement'!BF27+'Income Statement'!BF32+'Income Statement'!BF12+'D&amp;A'!BF8+'D&amp;A'!BF37-'D&amp;A'!BF14)</f>
        <v>160050.42098333332</v>
      </c>
      <c r="BH24" s="461">
        <f>+('Income Statement'!BG20+'Income Statement'!BG27+'Income Statement'!BG32+'Income Statement'!BG12+'D&amp;A'!BG8+'D&amp;A'!BG37-'D&amp;A'!BG14)</f>
        <v>168382.8404833333</v>
      </c>
      <c r="BI24" s="461">
        <f>+('Income Statement'!BH20+'Income Statement'!BH27+'Income Statement'!BH32+'Income Statement'!BH12+'D&amp;A'!BH8+'D&amp;A'!BH37-'D&amp;A'!BH14)</f>
        <v>169441.87323333332</v>
      </c>
      <c r="BJ24" s="461">
        <f>+('Income Statement'!BI20+'Income Statement'!BI27+'Income Statement'!BI32+'Income Statement'!BI12+'D&amp;A'!BI8+'D&amp;A'!BI37-'D&amp;A'!BI14)</f>
        <v>170602.53323333332</v>
      </c>
      <c r="BK24" s="461">
        <f>+('Income Statement'!BJ20+'Income Statement'!BJ27+'Income Statement'!BJ32+'Income Statement'!BJ12+'D&amp;A'!BJ8+'D&amp;A'!BJ37-'D&amp;A'!BJ14)</f>
        <v>171779.1187333333</v>
      </c>
      <c r="BL24" s="461">
        <f>+('Income Statement'!BK20+'Income Statement'!BK27+'Income Statement'!BK32+'Income Statement'!BK12+'D&amp;A'!BK8+'D&amp;A'!BK37-'D&amp;A'!BK14)</f>
        <v>173001.03148333333</v>
      </c>
      <c r="BM24" s="462">
        <f>+('Income Statement'!BL20+'Income Statement'!BL27+'Income Statement'!BL32+'Income Statement'!BL12+'D&amp;A'!BL8+'D&amp;A'!BL37-'D&amp;A'!BL14)</f>
        <v>174331.99148333332</v>
      </c>
    </row>
    <row r="25" spans="10:22" s="115" customFormat="1" ht="15.75">
      <c r="J25" s="2"/>
      <c r="K25" s="2"/>
      <c r="L25" s="2"/>
      <c r="M25" s="2"/>
      <c r="N25" s="2"/>
      <c r="O25" s="2"/>
      <c r="P25" s="2"/>
      <c r="Q25" s="2"/>
      <c r="R25" s="2"/>
      <c r="S25" s="2"/>
      <c r="T25" s="2"/>
      <c r="U25" s="2"/>
      <c r="V25" s="2"/>
    </row>
    <row r="26" spans="10:22" s="120" customFormat="1" ht="15.75">
      <c r="J26" s="2"/>
      <c r="K26" s="2"/>
      <c r="L26" s="2"/>
      <c r="M26" s="2"/>
      <c r="N26" s="2"/>
      <c r="O26" s="2"/>
      <c r="P26" s="2"/>
      <c r="Q26" s="2"/>
      <c r="R26" s="2"/>
      <c r="S26" s="2"/>
      <c r="T26" s="2"/>
      <c r="U26" s="2"/>
      <c r="V26" s="2"/>
    </row>
    <row r="27" ht="16.2" thickBot="1"/>
    <row r="28" spans="2:65" s="101" customFormat="1" ht="25.05" customHeight="1" thickBot="1">
      <c r="B28" s="1625" t="s">
        <v>246</v>
      </c>
      <c r="C28" s="1619">
        <f>+C20</f>
        <v>2019</v>
      </c>
      <c r="D28" s="1620"/>
      <c r="E28" s="1621"/>
      <c r="F28" s="1619">
        <f>1+C28</f>
        <v>2020</v>
      </c>
      <c r="G28" s="1620"/>
      <c r="H28" s="1620"/>
      <c r="I28" s="1620"/>
      <c r="J28" s="1620"/>
      <c r="K28" s="1620"/>
      <c r="L28" s="1620"/>
      <c r="M28" s="1620"/>
      <c r="N28" s="1620"/>
      <c r="O28" s="1620"/>
      <c r="P28" s="1620"/>
      <c r="Q28" s="1621"/>
      <c r="R28" s="1619">
        <f>1+F28</f>
        <v>2021</v>
      </c>
      <c r="S28" s="1620"/>
      <c r="T28" s="1620"/>
      <c r="U28" s="1620"/>
      <c r="V28" s="1620"/>
      <c r="W28" s="1620"/>
      <c r="X28" s="1620"/>
      <c r="Y28" s="1620"/>
      <c r="Z28" s="1620"/>
      <c r="AA28" s="1620"/>
      <c r="AB28" s="1620"/>
      <c r="AC28" s="1621"/>
      <c r="AD28" s="1619">
        <f>1+R28</f>
        <v>2022</v>
      </c>
      <c r="AE28" s="1620"/>
      <c r="AF28" s="1620"/>
      <c r="AG28" s="1620"/>
      <c r="AH28" s="1620"/>
      <c r="AI28" s="1620"/>
      <c r="AJ28" s="1620"/>
      <c r="AK28" s="1620"/>
      <c r="AL28" s="1620"/>
      <c r="AM28" s="1620"/>
      <c r="AN28" s="1620"/>
      <c r="AO28" s="1621"/>
      <c r="AP28" s="1619">
        <f>1+AD28</f>
        <v>2023</v>
      </c>
      <c r="AQ28" s="1620"/>
      <c r="AR28" s="1620"/>
      <c r="AS28" s="1620"/>
      <c r="AT28" s="1620"/>
      <c r="AU28" s="1620"/>
      <c r="AV28" s="1620"/>
      <c r="AW28" s="1620"/>
      <c r="AX28" s="1620"/>
      <c r="AY28" s="1620"/>
      <c r="AZ28" s="1620"/>
      <c r="BA28" s="1621"/>
      <c r="BB28" s="1619">
        <f>1+AP28</f>
        <v>2024</v>
      </c>
      <c r="BC28" s="1620"/>
      <c r="BD28" s="1620"/>
      <c r="BE28" s="1620"/>
      <c r="BF28" s="1620"/>
      <c r="BG28" s="1620"/>
      <c r="BH28" s="1620"/>
      <c r="BI28" s="1620"/>
      <c r="BJ28" s="1620"/>
      <c r="BK28" s="1620"/>
      <c r="BL28" s="1620"/>
      <c r="BM28" s="1621"/>
    </row>
    <row r="29" spans="2:65" s="101" customFormat="1" ht="25.05" customHeight="1" thickBot="1">
      <c r="B29" s="1626"/>
      <c r="C29" s="275" t="s">
        <v>195</v>
      </c>
      <c r="D29" s="275" t="s">
        <v>196</v>
      </c>
      <c r="E29" s="524" t="s">
        <v>197</v>
      </c>
      <c r="F29" s="275" t="s">
        <v>187</v>
      </c>
      <c r="G29" s="275" t="s">
        <v>188</v>
      </c>
      <c r="H29" s="275" t="s">
        <v>189</v>
      </c>
      <c r="I29" s="275" t="s">
        <v>190</v>
      </c>
      <c r="J29" s="275" t="s">
        <v>8</v>
      </c>
      <c r="K29" s="275" t="s">
        <v>191</v>
      </c>
      <c r="L29" s="275" t="s">
        <v>192</v>
      </c>
      <c r="M29" s="275" t="s">
        <v>193</v>
      </c>
      <c r="N29" s="275" t="s">
        <v>194</v>
      </c>
      <c r="O29" s="275" t="s">
        <v>195</v>
      </c>
      <c r="P29" s="275" t="s">
        <v>196</v>
      </c>
      <c r="Q29" s="524" t="s">
        <v>197</v>
      </c>
      <c r="R29" s="275" t="s">
        <v>187</v>
      </c>
      <c r="S29" s="275" t="s">
        <v>188</v>
      </c>
      <c r="T29" s="275" t="s">
        <v>189</v>
      </c>
      <c r="U29" s="275" t="s">
        <v>190</v>
      </c>
      <c r="V29" s="275" t="s">
        <v>8</v>
      </c>
      <c r="W29" s="275" t="s">
        <v>191</v>
      </c>
      <c r="X29" s="275" t="s">
        <v>192</v>
      </c>
      <c r="Y29" s="275" t="s">
        <v>193</v>
      </c>
      <c r="Z29" s="275" t="s">
        <v>194</v>
      </c>
      <c r="AA29" s="275" t="s">
        <v>195</v>
      </c>
      <c r="AB29" s="275" t="s">
        <v>196</v>
      </c>
      <c r="AC29" s="524" t="s">
        <v>197</v>
      </c>
      <c r="AD29" s="275" t="s">
        <v>187</v>
      </c>
      <c r="AE29" s="275" t="s">
        <v>188</v>
      </c>
      <c r="AF29" s="275" t="s">
        <v>189</v>
      </c>
      <c r="AG29" s="275" t="s">
        <v>190</v>
      </c>
      <c r="AH29" s="275" t="s">
        <v>8</v>
      </c>
      <c r="AI29" s="275" t="s">
        <v>191</v>
      </c>
      <c r="AJ29" s="275" t="s">
        <v>192</v>
      </c>
      <c r="AK29" s="275" t="s">
        <v>193</v>
      </c>
      <c r="AL29" s="275" t="s">
        <v>194</v>
      </c>
      <c r="AM29" s="275" t="s">
        <v>195</v>
      </c>
      <c r="AN29" s="275" t="s">
        <v>196</v>
      </c>
      <c r="AO29" s="524" t="s">
        <v>197</v>
      </c>
      <c r="AP29" s="275" t="s">
        <v>187</v>
      </c>
      <c r="AQ29" s="275" t="s">
        <v>188</v>
      </c>
      <c r="AR29" s="275" t="s">
        <v>189</v>
      </c>
      <c r="AS29" s="275" t="s">
        <v>190</v>
      </c>
      <c r="AT29" s="275" t="s">
        <v>8</v>
      </c>
      <c r="AU29" s="275" t="s">
        <v>191</v>
      </c>
      <c r="AV29" s="275" t="s">
        <v>192</v>
      </c>
      <c r="AW29" s="275" t="s">
        <v>193</v>
      </c>
      <c r="AX29" s="275" t="s">
        <v>194</v>
      </c>
      <c r="AY29" s="275" t="s">
        <v>195</v>
      </c>
      <c r="AZ29" s="275" t="s">
        <v>196</v>
      </c>
      <c r="BA29" s="524" t="s">
        <v>197</v>
      </c>
      <c r="BB29" s="275" t="s">
        <v>187</v>
      </c>
      <c r="BC29" s="275" t="s">
        <v>188</v>
      </c>
      <c r="BD29" s="275" t="s">
        <v>189</v>
      </c>
      <c r="BE29" s="275" t="s">
        <v>190</v>
      </c>
      <c r="BF29" s="275" t="s">
        <v>8</v>
      </c>
      <c r="BG29" s="275" t="s">
        <v>191</v>
      </c>
      <c r="BH29" s="275" t="s">
        <v>192</v>
      </c>
      <c r="BI29" s="275" t="s">
        <v>193</v>
      </c>
      <c r="BJ29" s="275" t="s">
        <v>194</v>
      </c>
      <c r="BK29" s="275" t="s">
        <v>195</v>
      </c>
      <c r="BL29" s="275" t="s">
        <v>196</v>
      </c>
      <c r="BM29" s="524" t="s">
        <v>197</v>
      </c>
    </row>
    <row r="30" spans="2:65" s="101" customFormat="1" ht="25.05" customHeight="1">
      <c r="B30" s="107" t="s">
        <v>173</v>
      </c>
      <c r="C30" s="232">
        <f>(SUM(C39:C39)-SUM(C45:C45))</f>
        <v>0</v>
      </c>
      <c r="D30" s="302">
        <f aca="true" t="shared" si="26" ref="D30">(SUM(D39:D39)-SUM(D45:D45))</f>
        <v>0</v>
      </c>
      <c r="E30" s="300">
        <f>(SUM(E39:E39)-SUM(E45:E45))</f>
        <v>0</v>
      </c>
      <c r="F30" s="232">
        <f>(SUM(F39:F39)-SUM(F45:F45))</f>
        <v>740.7399999999998</v>
      </c>
      <c r="G30" s="232">
        <f aca="true" t="shared" si="27" ref="G30:BM30">(SUM(G39:G39)-SUM(G45:G45))</f>
        <v>80.74000000000001</v>
      </c>
      <c r="H30" s="302">
        <f t="shared" si="27"/>
        <v>80.74000000000001</v>
      </c>
      <c r="I30" s="302">
        <f t="shared" si="27"/>
        <v>80.74000000000001</v>
      </c>
      <c r="J30" s="232">
        <f t="shared" si="27"/>
        <v>80.74000000000001</v>
      </c>
      <c r="K30" s="232">
        <f t="shared" si="27"/>
        <v>1488.779599999999</v>
      </c>
      <c r="L30" s="302">
        <f t="shared" si="27"/>
        <v>630.7224000000001</v>
      </c>
      <c r="M30" s="302">
        <f t="shared" si="27"/>
        <v>80.74000000000001</v>
      </c>
      <c r="N30" s="232">
        <f t="shared" si="27"/>
        <v>80.74000000000001</v>
      </c>
      <c r="O30" s="232">
        <f t="shared" si="27"/>
        <v>6664.841883333331</v>
      </c>
      <c r="P30" s="302">
        <f t="shared" si="27"/>
        <v>4560.2954833333315</v>
      </c>
      <c r="Q30" s="300">
        <f t="shared" si="27"/>
        <v>4605.635283333333</v>
      </c>
      <c r="R30" s="232">
        <f t="shared" si="27"/>
        <v>12474.44352</v>
      </c>
      <c r="S30" s="232">
        <f t="shared" si="27"/>
        <v>7294.640319999999</v>
      </c>
      <c r="T30" s="302">
        <f t="shared" si="27"/>
        <v>7400.570319999999</v>
      </c>
      <c r="U30" s="302">
        <f t="shared" si="27"/>
        <v>7442.81912</v>
      </c>
      <c r="V30" s="232">
        <f t="shared" si="27"/>
        <v>7485.067919999994</v>
      </c>
      <c r="W30" s="232">
        <f t="shared" si="27"/>
        <v>7527.871119999996</v>
      </c>
      <c r="X30" s="302">
        <f t="shared" si="27"/>
        <v>8343.07232</v>
      </c>
      <c r="Y30" s="302">
        <f t="shared" si="27"/>
        <v>8386.564724999997</v>
      </c>
      <c r="Z30" s="232">
        <f t="shared" si="27"/>
        <v>8441.384324999999</v>
      </c>
      <c r="AA30" s="232">
        <f t="shared" si="27"/>
        <v>8484.279925000003</v>
      </c>
      <c r="AB30" s="302">
        <f t="shared" si="27"/>
        <v>8538.483524999996</v>
      </c>
      <c r="AC30" s="300">
        <f t="shared" si="27"/>
        <v>8594.546729999995</v>
      </c>
      <c r="AD30" s="232">
        <f t="shared" si="27"/>
        <v>21117.888714999994</v>
      </c>
      <c r="AE30" s="232">
        <f t="shared" si="27"/>
        <v>13472.893114999999</v>
      </c>
      <c r="AF30" s="302">
        <f t="shared" si="27"/>
        <v>13540.356719999996</v>
      </c>
      <c r="AG30" s="302">
        <f t="shared" si="27"/>
        <v>13594.837520000001</v>
      </c>
      <c r="AH30" s="232">
        <f t="shared" si="27"/>
        <v>13661.70431999999</v>
      </c>
      <c r="AI30" s="232">
        <f t="shared" si="27"/>
        <v>13729.35272499999</v>
      </c>
      <c r="AJ30" s="302">
        <f t="shared" si="27"/>
        <v>13796.404324999996</v>
      </c>
      <c r="AK30" s="302">
        <f t="shared" si="27"/>
        <v>13863.455925000002</v>
      </c>
      <c r="AL30" s="232">
        <f t="shared" si="27"/>
        <v>13943.675129999989</v>
      </c>
      <c r="AM30" s="232">
        <f t="shared" si="27"/>
        <v>14010.911529999998</v>
      </c>
      <c r="AN30" s="302">
        <f t="shared" si="27"/>
        <v>14101.934330000004</v>
      </c>
      <c r="AO30" s="300">
        <f t="shared" si="27"/>
        <v>14180.66352999999</v>
      </c>
      <c r="AP30" s="232">
        <f t="shared" si="27"/>
        <v>31513.610864999995</v>
      </c>
      <c r="AQ30" s="232">
        <f t="shared" si="27"/>
        <v>21486.06207</v>
      </c>
      <c r="AR30" s="302">
        <f t="shared" si="27"/>
        <v>21577.454469999997</v>
      </c>
      <c r="AS30" s="302">
        <f t="shared" si="27"/>
        <v>21681.32527</v>
      </c>
      <c r="AT30" s="232">
        <f t="shared" si="27"/>
        <v>21795.55928</v>
      </c>
      <c r="AU30" s="232">
        <f t="shared" si="27"/>
        <v>21908.66128</v>
      </c>
      <c r="AV30" s="302">
        <f t="shared" si="27"/>
        <v>23632.675000000003</v>
      </c>
      <c r="AW30" s="302">
        <f t="shared" si="27"/>
        <v>23769.821404999995</v>
      </c>
      <c r="AX30" s="232">
        <f t="shared" si="27"/>
        <v>23908.23061</v>
      </c>
      <c r="AY30" s="232">
        <f t="shared" si="27"/>
        <v>24045.427009999985</v>
      </c>
      <c r="AZ30" s="302">
        <f t="shared" si="27"/>
        <v>24195.42141499999</v>
      </c>
      <c r="BA30" s="300">
        <f t="shared" si="27"/>
        <v>24344.91141500001</v>
      </c>
      <c r="BB30" s="232">
        <f t="shared" si="27"/>
        <v>44597.66899133331</v>
      </c>
      <c r="BC30" s="232">
        <f t="shared" si="27"/>
        <v>34421.75500133334</v>
      </c>
      <c r="BD30" s="302">
        <f t="shared" si="27"/>
        <v>34607.26340133333</v>
      </c>
      <c r="BE30" s="302">
        <f t="shared" si="27"/>
        <v>34782.33780633332</v>
      </c>
      <c r="BF30" s="232">
        <f t="shared" si="27"/>
        <v>35003.967016333336</v>
      </c>
      <c r="BG30" s="232">
        <f t="shared" si="27"/>
        <v>35211.092616333335</v>
      </c>
      <c r="BH30" s="302">
        <f t="shared" si="27"/>
        <v>37044.224906333315</v>
      </c>
      <c r="BI30" s="302">
        <f t="shared" si="27"/>
        <v>37277.21211133333</v>
      </c>
      <c r="BJ30" s="232">
        <f t="shared" si="27"/>
        <v>37532.55731133334</v>
      </c>
      <c r="BK30" s="232">
        <f t="shared" si="27"/>
        <v>37791.40612133333</v>
      </c>
      <c r="BL30" s="302">
        <f t="shared" si="27"/>
        <v>38060.22692633333</v>
      </c>
      <c r="BM30" s="300">
        <f t="shared" si="27"/>
        <v>38353.038126333326</v>
      </c>
    </row>
    <row r="31" spans="2:65" s="101" customFormat="1" ht="25.05" customHeight="1">
      <c r="B31" s="107" t="s">
        <v>174</v>
      </c>
      <c r="C31" s="232">
        <f aca="true" t="shared" si="28" ref="C31:D31">SUM(C38:C38)-SUM(C44:C44)</f>
        <v>0</v>
      </c>
      <c r="D31" s="232">
        <f t="shared" si="28"/>
        <v>0</v>
      </c>
      <c r="E31" s="300">
        <f>SUM(E38:E38)-SUM(E44:E44)</f>
        <v>0</v>
      </c>
      <c r="F31" s="232">
        <f aca="true" t="shared" si="29" ref="F31:BM31">SUM(F38:F38)-SUM(F44:F44)</f>
        <v>7.434166666666663</v>
      </c>
      <c r="G31" s="232">
        <f t="shared" si="29"/>
        <v>7.434166666666663</v>
      </c>
      <c r="H31" s="232">
        <f t="shared" si="29"/>
        <v>7.434166666666663</v>
      </c>
      <c r="I31" s="232">
        <f t="shared" si="29"/>
        <v>7.434166666666663</v>
      </c>
      <c r="J31" s="232">
        <f t="shared" si="29"/>
        <v>7.434166666666663</v>
      </c>
      <c r="K31" s="232">
        <f t="shared" si="29"/>
        <v>1848.8341666666656</v>
      </c>
      <c r="L31" s="232">
        <f t="shared" si="29"/>
        <v>619.0341666666664</v>
      </c>
      <c r="M31" s="232">
        <f t="shared" si="29"/>
        <v>7.434166666666663</v>
      </c>
      <c r="N31" s="232">
        <f t="shared" si="29"/>
        <v>7.434166666666663</v>
      </c>
      <c r="O31" s="232">
        <f t="shared" si="29"/>
        <v>3533.759166666665</v>
      </c>
      <c r="P31" s="232">
        <f t="shared" si="29"/>
        <v>4066.159166666668</v>
      </c>
      <c r="Q31" s="300">
        <f t="shared" si="29"/>
        <v>4161.859166666665</v>
      </c>
      <c r="R31" s="232">
        <f t="shared" si="29"/>
        <v>7629.114166666666</v>
      </c>
      <c r="S31" s="232">
        <f t="shared" si="29"/>
        <v>8500.314166666663</v>
      </c>
      <c r="T31" s="232">
        <f t="shared" si="29"/>
        <v>8995.314166666663</v>
      </c>
      <c r="U31" s="232">
        <f t="shared" si="29"/>
        <v>9184.514166666668</v>
      </c>
      <c r="V31" s="232">
        <f t="shared" si="29"/>
        <v>9373.714166666665</v>
      </c>
      <c r="W31" s="232">
        <f t="shared" si="29"/>
        <v>9602.514166666668</v>
      </c>
      <c r="X31" s="232">
        <f t="shared" si="29"/>
        <v>10788.314166666663</v>
      </c>
      <c r="Y31" s="232">
        <f t="shared" si="29"/>
        <v>10987.771666666667</v>
      </c>
      <c r="Z31" s="232">
        <f t="shared" si="29"/>
        <v>11289.171666666662</v>
      </c>
      <c r="AA31" s="232">
        <f t="shared" si="29"/>
        <v>11524.571666666663</v>
      </c>
      <c r="AB31" s="232">
        <f t="shared" si="29"/>
        <v>11781.971666666665</v>
      </c>
      <c r="AC31" s="300">
        <f t="shared" si="29"/>
        <v>12093.629166666658</v>
      </c>
      <c r="AD31" s="232">
        <f t="shared" si="29"/>
        <v>18030.622499999998</v>
      </c>
      <c r="AE31" s="232">
        <f t="shared" si="29"/>
        <v>18345.222500000003</v>
      </c>
      <c r="AF31" s="232">
        <f t="shared" si="29"/>
        <v>18685.479999999996</v>
      </c>
      <c r="AG31" s="232">
        <f t="shared" si="29"/>
        <v>18962.679999999993</v>
      </c>
      <c r="AH31" s="232">
        <f t="shared" si="29"/>
        <v>19338.880000000005</v>
      </c>
      <c r="AI31" s="232">
        <f t="shared" si="29"/>
        <v>19692.337499999994</v>
      </c>
      <c r="AJ31" s="232">
        <f t="shared" si="29"/>
        <v>20081.737500000003</v>
      </c>
      <c r="AK31" s="232">
        <f t="shared" si="29"/>
        <v>20471.137499999997</v>
      </c>
      <c r="AL31" s="232">
        <f t="shared" si="29"/>
        <v>20936.795</v>
      </c>
      <c r="AM31" s="232">
        <f t="shared" si="29"/>
        <v>21339.395000000004</v>
      </c>
      <c r="AN31" s="232">
        <f t="shared" si="29"/>
        <v>21869.595</v>
      </c>
      <c r="AO31" s="300">
        <f t="shared" si="29"/>
        <v>22307.395000000004</v>
      </c>
      <c r="AP31" s="232">
        <f>SUM(AP38:AP38)-SUM(AP44:AP44)</f>
        <v>30647.347500000003</v>
      </c>
      <c r="AQ31" s="232">
        <f t="shared" si="29"/>
        <v>31201.005000000005</v>
      </c>
      <c r="AR31" s="232">
        <f t="shared" si="29"/>
        <v>31757.60500000001</v>
      </c>
      <c r="AS31" s="232">
        <f t="shared" si="29"/>
        <v>32419.804999999993</v>
      </c>
      <c r="AT31" s="232">
        <f t="shared" si="29"/>
        <v>33036.51999999999</v>
      </c>
      <c r="AU31" s="232">
        <f t="shared" si="29"/>
        <v>33729.51999999999</v>
      </c>
      <c r="AV31" s="232">
        <f t="shared" si="29"/>
        <v>37130.5</v>
      </c>
      <c r="AW31" s="232">
        <f t="shared" si="29"/>
        <v>37890.95749999999</v>
      </c>
      <c r="AX31" s="232">
        <f t="shared" si="29"/>
        <v>38741.61499999999</v>
      </c>
      <c r="AY31" s="232">
        <f t="shared" si="29"/>
        <v>39584.215</v>
      </c>
      <c r="AZ31" s="232">
        <f t="shared" si="29"/>
        <v>40476.672499999986</v>
      </c>
      <c r="BA31" s="300">
        <f t="shared" si="29"/>
        <v>41411.672499999986</v>
      </c>
      <c r="BB31" s="232">
        <f t="shared" si="29"/>
        <v>52996.09700000001</v>
      </c>
      <c r="BC31" s="232">
        <f t="shared" si="29"/>
        <v>54030.811999999976</v>
      </c>
      <c r="BD31" s="232">
        <f t="shared" si="29"/>
        <v>55181.41200000001</v>
      </c>
      <c r="BE31" s="232">
        <f t="shared" si="29"/>
        <v>56293.86949999997</v>
      </c>
      <c r="BF31" s="232">
        <f t="shared" si="29"/>
        <v>57667.384499999986</v>
      </c>
      <c r="BG31" s="232">
        <f t="shared" si="29"/>
        <v>58947.78450000001</v>
      </c>
      <c r="BH31" s="232">
        <f t="shared" si="29"/>
        <v>63071.519499999995</v>
      </c>
      <c r="BI31" s="232">
        <f t="shared" si="29"/>
        <v>64549.17699999997</v>
      </c>
      <c r="BJ31" s="232">
        <f t="shared" si="29"/>
        <v>66130.97700000001</v>
      </c>
      <c r="BK31" s="232">
        <f t="shared" si="29"/>
        <v>67805.89199999999</v>
      </c>
      <c r="BL31" s="232">
        <f t="shared" si="29"/>
        <v>69485.94949999999</v>
      </c>
      <c r="BM31" s="300">
        <f t="shared" si="29"/>
        <v>71386.74949999998</v>
      </c>
    </row>
    <row r="32" spans="2:65" s="101" customFormat="1" ht="25.05" customHeight="1" thickBot="1">
      <c r="B32" s="108" t="s">
        <v>175</v>
      </c>
      <c r="C32" s="299">
        <f>-C30+C31</f>
        <v>0</v>
      </c>
      <c r="D32" s="299">
        <f aca="true" t="shared" si="30" ref="D32:BM32">-D30+D31</f>
        <v>0</v>
      </c>
      <c r="E32" s="301">
        <f t="shared" si="30"/>
        <v>0</v>
      </c>
      <c r="F32" s="299">
        <f>-F30+F31</f>
        <v>-733.3058333333331</v>
      </c>
      <c r="G32" s="299">
        <f t="shared" si="30"/>
        <v>-73.30583333333334</v>
      </c>
      <c r="H32" s="299">
        <f t="shared" si="30"/>
        <v>-73.30583333333334</v>
      </c>
      <c r="I32" s="299">
        <f t="shared" si="30"/>
        <v>-73.30583333333334</v>
      </c>
      <c r="J32" s="299">
        <f t="shared" si="30"/>
        <v>-73.30583333333334</v>
      </c>
      <c r="K32" s="299">
        <f t="shared" si="30"/>
        <v>360.0545666666667</v>
      </c>
      <c r="L32" s="299">
        <f t="shared" si="30"/>
        <v>-11.688233333333756</v>
      </c>
      <c r="M32" s="299">
        <f t="shared" si="30"/>
        <v>-73.30583333333334</v>
      </c>
      <c r="N32" s="299">
        <f t="shared" si="30"/>
        <v>-73.30583333333334</v>
      </c>
      <c r="O32" s="299">
        <f t="shared" si="30"/>
        <v>-3131.082716666666</v>
      </c>
      <c r="P32" s="299">
        <f t="shared" si="30"/>
        <v>-494.13631666666333</v>
      </c>
      <c r="Q32" s="301">
        <f t="shared" si="30"/>
        <v>-443.7761166666678</v>
      </c>
      <c r="R32" s="299">
        <f t="shared" si="30"/>
        <v>-4845.329353333334</v>
      </c>
      <c r="S32" s="299">
        <f t="shared" si="30"/>
        <v>1205.6738466666648</v>
      </c>
      <c r="T32" s="299">
        <f t="shared" si="30"/>
        <v>1594.7438466666645</v>
      </c>
      <c r="U32" s="299">
        <f t="shared" si="30"/>
        <v>1741.6950466666676</v>
      </c>
      <c r="V32" s="299">
        <f t="shared" si="30"/>
        <v>1888.6462466666708</v>
      </c>
      <c r="W32" s="299">
        <f t="shared" si="30"/>
        <v>2074.6430466666716</v>
      </c>
      <c r="X32" s="299">
        <f t="shared" si="30"/>
        <v>2445.241846666664</v>
      </c>
      <c r="Y32" s="299">
        <f t="shared" si="30"/>
        <v>2601.206941666671</v>
      </c>
      <c r="Z32" s="299">
        <f t="shared" si="30"/>
        <v>2847.7873416666625</v>
      </c>
      <c r="AA32" s="299">
        <f t="shared" si="30"/>
        <v>3040.2917416666605</v>
      </c>
      <c r="AB32" s="299">
        <f t="shared" si="30"/>
        <v>3243.4881416666685</v>
      </c>
      <c r="AC32" s="301">
        <f t="shared" si="30"/>
        <v>3499.082436666664</v>
      </c>
      <c r="AD32" s="299">
        <f t="shared" si="30"/>
        <v>-3087.266214999996</v>
      </c>
      <c r="AE32" s="299">
        <f t="shared" si="30"/>
        <v>4872.329385000005</v>
      </c>
      <c r="AF32" s="299">
        <f t="shared" si="30"/>
        <v>5145.12328</v>
      </c>
      <c r="AG32" s="299">
        <f t="shared" si="30"/>
        <v>5367.842479999992</v>
      </c>
      <c r="AH32" s="299">
        <f t="shared" si="30"/>
        <v>5677.175680000015</v>
      </c>
      <c r="AI32" s="299">
        <f t="shared" si="30"/>
        <v>5962.984775000004</v>
      </c>
      <c r="AJ32" s="299">
        <f t="shared" si="30"/>
        <v>6285.333175000007</v>
      </c>
      <c r="AK32" s="299">
        <f t="shared" si="30"/>
        <v>6607.681574999995</v>
      </c>
      <c r="AL32" s="299">
        <f t="shared" si="30"/>
        <v>6993.1198700000095</v>
      </c>
      <c r="AM32" s="299">
        <f t="shared" si="30"/>
        <v>7328.4834700000065</v>
      </c>
      <c r="AN32" s="299">
        <f t="shared" si="30"/>
        <v>7767.6606699999975</v>
      </c>
      <c r="AO32" s="301">
        <f t="shared" si="30"/>
        <v>8126.731470000013</v>
      </c>
      <c r="AP32" s="299">
        <f t="shared" si="30"/>
        <v>-866.2633649999916</v>
      </c>
      <c r="AQ32" s="299">
        <f t="shared" si="30"/>
        <v>9714.942930000005</v>
      </c>
      <c r="AR32" s="299">
        <f t="shared" si="30"/>
        <v>10180.150530000014</v>
      </c>
      <c r="AS32" s="299">
        <f t="shared" si="30"/>
        <v>10738.479729999992</v>
      </c>
      <c r="AT32" s="299">
        <f t="shared" si="30"/>
        <v>11240.960719999988</v>
      </c>
      <c r="AU32" s="299">
        <f t="shared" si="30"/>
        <v>11820.85871999999</v>
      </c>
      <c r="AV32" s="299">
        <f t="shared" si="30"/>
        <v>13497.824999999997</v>
      </c>
      <c r="AW32" s="299">
        <f t="shared" si="30"/>
        <v>14121.136094999994</v>
      </c>
      <c r="AX32" s="299">
        <f t="shared" si="30"/>
        <v>14833.384389999992</v>
      </c>
      <c r="AY32" s="299">
        <f t="shared" si="30"/>
        <v>15538.787990000012</v>
      </c>
      <c r="AZ32" s="299">
        <f t="shared" si="30"/>
        <v>16281.251084999996</v>
      </c>
      <c r="BA32" s="301">
        <f t="shared" si="30"/>
        <v>17066.761084999976</v>
      </c>
      <c r="BB32" s="299">
        <f t="shared" si="30"/>
        <v>8398.428008666699</v>
      </c>
      <c r="BC32" s="299">
        <f t="shared" si="30"/>
        <v>19609.056998666638</v>
      </c>
      <c r="BD32" s="299">
        <f t="shared" si="30"/>
        <v>20574.14859866668</v>
      </c>
      <c r="BE32" s="299">
        <f t="shared" si="30"/>
        <v>21511.53169366665</v>
      </c>
      <c r="BF32" s="299">
        <f t="shared" si="30"/>
        <v>22663.41748366665</v>
      </c>
      <c r="BG32" s="299">
        <f t="shared" si="30"/>
        <v>23736.691883666674</v>
      </c>
      <c r="BH32" s="299">
        <f t="shared" si="30"/>
        <v>26027.29459366668</v>
      </c>
      <c r="BI32" s="299">
        <f t="shared" si="30"/>
        <v>27271.96488866664</v>
      </c>
      <c r="BJ32" s="299">
        <f t="shared" si="30"/>
        <v>28598.419688666676</v>
      </c>
      <c r="BK32" s="299">
        <f t="shared" si="30"/>
        <v>30014.48587866666</v>
      </c>
      <c r="BL32" s="299">
        <f t="shared" si="30"/>
        <v>31425.72257366666</v>
      </c>
      <c r="BM32" s="301">
        <f t="shared" si="30"/>
        <v>33033.71137366665</v>
      </c>
    </row>
    <row r="34" ht="16.2" thickBot="1"/>
    <row r="35" spans="2:65" s="52" customFormat="1" ht="34.95" customHeight="1">
      <c r="B35" s="1603" t="s">
        <v>200</v>
      </c>
      <c r="C35" s="1619">
        <f>+C28</f>
        <v>2019</v>
      </c>
      <c r="D35" s="1620"/>
      <c r="E35" s="1621">
        <f>+E28</f>
        <v>0</v>
      </c>
      <c r="F35" s="1579">
        <f>+F28</f>
        <v>2020</v>
      </c>
      <c r="G35" s="1579"/>
      <c r="H35" s="1579"/>
      <c r="I35" s="1579"/>
      <c r="J35" s="1579"/>
      <c r="K35" s="1579"/>
      <c r="L35" s="1579"/>
      <c r="M35" s="1579"/>
      <c r="N35" s="1579"/>
      <c r="O35" s="1579"/>
      <c r="P35" s="1579"/>
      <c r="Q35" s="1580"/>
      <c r="R35" s="1595">
        <f>1+F35</f>
        <v>2021</v>
      </c>
      <c r="S35" s="1579"/>
      <c r="T35" s="1579"/>
      <c r="U35" s="1579"/>
      <c r="V35" s="1579"/>
      <c r="W35" s="1579"/>
      <c r="X35" s="1579"/>
      <c r="Y35" s="1579"/>
      <c r="Z35" s="1579"/>
      <c r="AA35" s="1579"/>
      <c r="AB35" s="1579"/>
      <c r="AC35" s="1580"/>
      <c r="AD35" s="1595">
        <f>1+R35</f>
        <v>2022</v>
      </c>
      <c r="AE35" s="1579"/>
      <c r="AF35" s="1579"/>
      <c r="AG35" s="1579"/>
      <c r="AH35" s="1579"/>
      <c r="AI35" s="1579"/>
      <c r="AJ35" s="1579"/>
      <c r="AK35" s="1579"/>
      <c r="AL35" s="1579"/>
      <c r="AM35" s="1579"/>
      <c r="AN35" s="1579"/>
      <c r="AO35" s="1580"/>
      <c r="AP35" s="1595">
        <f>1+AD35</f>
        <v>2023</v>
      </c>
      <c r="AQ35" s="1579"/>
      <c r="AR35" s="1579"/>
      <c r="AS35" s="1579"/>
      <c r="AT35" s="1579"/>
      <c r="AU35" s="1579"/>
      <c r="AV35" s="1579"/>
      <c r="AW35" s="1579"/>
      <c r="AX35" s="1579"/>
      <c r="AY35" s="1579"/>
      <c r="AZ35" s="1579"/>
      <c r="BA35" s="1580"/>
      <c r="BB35" s="1595">
        <f>1+AP35</f>
        <v>2024</v>
      </c>
      <c r="BC35" s="1579"/>
      <c r="BD35" s="1579"/>
      <c r="BE35" s="1579"/>
      <c r="BF35" s="1579"/>
      <c r="BG35" s="1579"/>
      <c r="BH35" s="1579"/>
      <c r="BI35" s="1579"/>
      <c r="BJ35" s="1579"/>
      <c r="BK35" s="1579"/>
      <c r="BL35" s="1579"/>
      <c r="BM35" s="1580"/>
    </row>
    <row r="36" spans="2:65" s="52" customFormat="1" ht="16.2" thickBot="1">
      <c r="B36" s="1604"/>
      <c r="C36" s="1622"/>
      <c r="D36" s="1623"/>
      <c r="E36" s="1624"/>
      <c r="F36" s="1581"/>
      <c r="G36" s="1581"/>
      <c r="H36" s="1581"/>
      <c r="I36" s="1581"/>
      <c r="J36" s="1581"/>
      <c r="K36" s="1581"/>
      <c r="L36" s="1581"/>
      <c r="M36" s="1581"/>
      <c r="N36" s="1581"/>
      <c r="O36" s="1581"/>
      <c r="P36" s="1581"/>
      <c r="Q36" s="1582"/>
      <c r="R36" s="1596"/>
      <c r="S36" s="1581"/>
      <c r="T36" s="1581"/>
      <c r="U36" s="1581"/>
      <c r="V36" s="1581"/>
      <c r="W36" s="1581"/>
      <c r="X36" s="1581"/>
      <c r="Y36" s="1581"/>
      <c r="Z36" s="1581"/>
      <c r="AA36" s="1581"/>
      <c r="AB36" s="1581"/>
      <c r="AC36" s="1582"/>
      <c r="AD36" s="1596"/>
      <c r="AE36" s="1581"/>
      <c r="AF36" s="1581"/>
      <c r="AG36" s="1581"/>
      <c r="AH36" s="1581"/>
      <c r="AI36" s="1581"/>
      <c r="AJ36" s="1581"/>
      <c r="AK36" s="1581"/>
      <c r="AL36" s="1581"/>
      <c r="AM36" s="1581"/>
      <c r="AN36" s="1581"/>
      <c r="AO36" s="1582"/>
      <c r="AP36" s="1596"/>
      <c r="AQ36" s="1581"/>
      <c r="AR36" s="1581"/>
      <c r="AS36" s="1581"/>
      <c r="AT36" s="1581"/>
      <c r="AU36" s="1581"/>
      <c r="AV36" s="1581"/>
      <c r="AW36" s="1581"/>
      <c r="AX36" s="1581"/>
      <c r="AY36" s="1581"/>
      <c r="AZ36" s="1581"/>
      <c r="BA36" s="1582"/>
      <c r="BB36" s="1596"/>
      <c r="BC36" s="1581"/>
      <c r="BD36" s="1581"/>
      <c r="BE36" s="1581"/>
      <c r="BF36" s="1581"/>
      <c r="BG36" s="1581"/>
      <c r="BH36" s="1581"/>
      <c r="BI36" s="1581"/>
      <c r="BJ36" s="1581"/>
      <c r="BK36" s="1581"/>
      <c r="BL36" s="1581"/>
      <c r="BM36" s="1582"/>
    </row>
    <row r="37" spans="2:65" s="52" customFormat="1" ht="16.2" thickBot="1">
      <c r="B37" s="1605"/>
      <c r="C37" s="275" t="s">
        <v>195</v>
      </c>
      <c r="D37" s="275" t="s">
        <v>196</v>
      </c>
      <c r="E37" s="524" t="s">
        <v>197</v>
      </c>
      <c r="F37" s="275" t="s">
        <v>187</v>
      </c>
      <c r="G37" s="275" t="s">
        <v>188</v>
      </c>
      <c r="H37" s="275" t="s">
        <v>189</v>
      </c>
      <c r="I37" s="275" t="s">
        <v>190</v>
      </c>
      <c r="J37" s="275" t="s">
        <v>8</v>
      </c>
      <c r="K37" s="275" t="s">
        <v>191</v>
      </c>
      <c r="L37" s="275" t="s">
        <v>192</v>
      </c>
      <c r="M37" s="275" t="s">
        <v>193</v>
      </c>
      <c r="N37" s="275" t="s">
        <v>194</v>
      </c>
      <c r="O37" s="275" t="s">
        <v>195</v>
      </c>
      <c r="P37" s="275" t="s">
        <v>196</v>
      </c>
      <c r="Q37" s="524" t="s">
        <v>197</v>
      </c>
      <c r="R37" s="523" t="s">
        <v>187</v>
      </c>
      <c r="S37" s="275" t="s">
        <v>188</v>
      </c>
      <c r="T37" s="275" t="s">
        <v>189</v>
      </c>
      <c r="U37" s="275" t="s">
        <v>190</v>
      </c>
      <c r="V37" s="275" t="s">
        <v>8</v>
      </c>
      <c r="W37" s="275" t="s">
        <v>191</v>
      </c>
      <c r="X37" s="275" t="s">
        <v>192</v>
      </c>
      <c r="Y37" s="275" t="s">
        <v>193</v>
      </c>
      <c r="Z37" s="275" t="s">
        <v>194</v>
      </c>
      <c r="AA37" s="275" t="s">
        <v>195</v>
      </c>
      <c r="AB37" s="275" t="s">
        <v>196</v>
      </c>
      <c r="AC37" s="524" t="s">
        <v>197</v>
      </c>
      <c r="AD37" s="523" t="s">
        <v>187</v>
      </c>
      <c r="AE37" s="275" t="s">
        <v>188</v>
      </c>
      <c r="AF37" s="275" t="s">
        <v>189</v>
      </c>
      <c r="AG37" s="275" t="s">
        <v>190</v>
      </c>
      <c r="AH37" s="275" t="s">
        <v>8</v>
      </c>
      <c r="AI37" s="275" t="s">
        <v>191</v>
      </c>
      <c r="AJ37" s="275" t="s">
        <v>192</v>
      </c>
      <c r="AK37" s="275" t="s">
        <v>193</v>
      </c>
      <c r="AL37" s="275" t="s">
        <v>194</v>
      </c>
      <c r="AM37" s="275" t="s">
        <v>195</v>
      </c>
      <c r="AN37" s="275" t="s">
        <v>196</v>
      </c>
      <c r="AO37" s="524" t="s">
        <v>197</v>
      </c>
      <c r="AP37" s="523" t="s">
        <v>187</v>
      </c>
      <c r="AQ37" s="275" t="s">
        <v>188</v>
      </c>
      <c r="AR37" s="275" t="s">
        <v>189</v>
      </c>
      <c r="AS37" s="275" t="s">
        <v>190</v>
      </c>
      <c r="AT37" s="275" t="s">
        <v>8</v>
      </c>
      <c r="AU37" s="275" t="s">
        <v>191</v>
      </c>
      <c r="AV37" s="275" t="s">
        <v>192</v>
      </c>
      <c r="AW37" s="275" t="s">
        <v>193</v>
      </c>
      <c r="AX37" s="275" t="s">
        <v>194</v>
      </c>
      <c r="AY37" s="275" t="s">
        <v>195</v>
      </c>
      <c r="AZ37" s="275" t="s">
        <v>196</v>
      </c>
      <c r="BA37" s="524" t="s">
        <v>197</v>
      </c>
      <c r="BB37" s="523" t="s">
        <v>187</v>
      </c>
      <c r="BC37" s="275" t="s">
        <v>188</v>
      </c>
      <c r="BD37" s="275" t="s">
        <v>189</v>
      </c>
      <c r="BE37" s="275" t="s">
        <v>190</v>
      </c>
      <c r="BF37" s="275" t="s">
        <v>8</v>
      </c>
      <c r="BG37" s="275" t="s">
        <v>191</v>
      </c>
      <c r="BH37" s="275" t="s">
        <v>192</v>
      </c>
      <c r="BI37" s="275" t="s">
        <v>193</v>
      </c>
      <c r="BJ37" s="275" t="s">
        <v>194</v>
      </c>
      <c r="BK37" s="275" t="s">
        <v>195</v>
      </c>
      <c r="BL37" s="275" t="s">
        <v>196</v>
      </c>
      <c r="BM37" s="524" t="s">
        <v>197</v>
      </c>
    </row>
    <row r="38" spans="2:65" ht="16.05" customHeight="1">
      <c r="B38" s="103" t="s">
        <v>214</v>
      </c>
      <c r="C38" s="232">
        <f aca="true" t="shared" si="31" ref="C38:D38">+C44*(1+$C$5)</f>
        <v>0</v>
      </c>
      <c r="D38" s="232">
        <f t="shared" si="31"/>
        <v>0</v>
      </c>
      <c r="E38" s="300">
        <f aca="true" t="shared" si="32" ref="E38:AJ38">+E44*(1+$C$5)</f>
        <v>0</v>
      </c>
      <c r="F38" s="458">
        <f t="shared" si="32"/>
        <v>41.22583333333333</v>
      </c>
      <c r="G38" s="458">
        <f t="shared" si="32"/>
        <v>41.22583333333333</v>
      </c>
      <c r="H38" s="458">
        <f t="shared" si="32"/>
        <v>41.22583333333333</v>
      </c>
      <c r="I38" s="458">
        <f t="shared" si="32"/>
        <v>41.22583333333333</v>
      </c>
      <c r="J38" s="458">
        <f t="shared" si="32"/>
        <v>41.22583333333333</v>
      </c>
      <c r="K38" s="458">
        <f t="shared" si="32"/>
        <v>10252.625833333332</v>
      </c>
      <c r="L38" s="458">
        <f t="shared" si="32"/>
        <v>3432.825833333333</v>
      </c>
      <c r="M38" s="458">
        <f t="shared" si="32"/>
        <v>41.22583333333333</v>
      </c>
      <c r="N38" s="458">
        <f t="shared" si="32"/>
        <v>41.22583333333333</v>
      </c>
      <c r="O38" s="458">
        <f t="shared" si="32"/>
        <v>19596.30083333333</v>
      </c>
      <c r="P38" s="458">
        <f t="shared" si="32"/>
        <v>22548.700833333336</v>
      </c>
      <c r="Q38" s="459">
        <f t="shared" si="32"/>
        <v>23079.400833333333</v>
      </c>
      <c r="R38" s="457">
        <f t="shared" si="32"/>
        <v>42306.90583333333</v>
      </c>
      <c r="S38" s="458">
        <f t="shared" si="32"/>
        <v>47138.10583333333</v>
      </c>
      <c r="T38" s="458">
        <f t="shared" si="32"/>
        <v>49883.10583333333</v>
      </c>
      <c r="U38" s="458">
        <f t="shared" si="32"/>
        <v>50932.30583333333</v>
      </c>
      <c r="V38" s="458">
        <f t="shared" si="32"/>
        <v>51981.50583333333</v>
      </c>
      <c r="W38" s="458">
        <f t="shared" si="32"/>
        <v>53250.30583333333</v>
      </c>
      <c r="X38" s="458">
        <f t="shared" si="32"/>
        <v>59826.10583333333</v>
      </c>
      <c r="Y38" s="458">
        <f t="shared" si="32"/>
        <v>60932.18833333333</v>
      </c>
      <c r="Z38" s="458">
        <f t="shared" si="32"/>
        <v>62603.588333333326</v>
      </c>
      <c r="AA38" s="458">
        <f t="shared" si="32"/>
        <v>63908.98833333333</v>
      </c>
      <c r="AB38" s="458">
        <f t="shared" si="32"/>
        <v>65336.38833333333</v>
      </c>
      <c r="AC38" s="459">
        <f t="shared" si="32"/>
        <v>67064.67083333332</v>
      </c>
      <c r="AD38" s="457">
        <f t="shared" si="32"/>
        <v>99987.9975</v>
      </c>
      <c r="AE38" s="458">
        <f t="shared" si="32"/>
        <v>101732.5975</v>
      </c>
      <c r="AF38" s="458">
        <f t="shared" si="32"/>
        <v>103619.48</v>
      </c>
      <c r="AG38" s="458">
        <f t="shared" si="32"/>
        <v>105156.68</v>
      </c>
      <c r="AH38" s="458">
        <f t="shared" si="32"/>
        <v>107242.88</v>
      </c>
      <c r="AI38" s="458">
        <f t="shared" si="32"/>
        <v>109202.9625</v>
      </c>
      <c r="AJ38" s="458">
        <f t="shared" si="32"/>
        <v>111362.3625</v>
      </c>
      <c r="AK38" s="458">
        <f aca="true" t="shared" si="33" ref="AK38:BM38">+AK44*(1+$C$5)</f>
        <v>113521.7625</v>
      </c>
      <c r="AL38" s="458">
        <f t="shared" si="33"/>
        <v>116104.045</v>
      </c>
      <c r="AM38" s="458">
        <f t="shared" si="33"/>
        <v>118336.645</v>
      </c>
      <c r="AN38" s="458">
        <f t="shared" si="33"/>
        <v>121276.845</v>
      </c>
      <c r="AO38" s="459">
        <f t="shared" si="33"/>
        <v>123704.645</v>
      </c>
      <c r="AP38" s="457">
        <f t="shared" si="33"/>
        <v>169953.4725</v>
      </c>
      <c r="AQ38" s="458">
        <f t="shared" si="33"/>
        <v>173023.755</v>
      </c>
      <c r="AR38" s="458">
        <f t="shared" si="33"/>
        <v>176110.355</v>
      </c>
      <c r="AS38" s="458">
        <f t="shared" si="33"/>
        <v>179782.555</v>
      </c>
      <c r="AT38" s="458">
        <f t="shared" si="33"/>
        <v>183202.52</v>
      </c>
      <c r="AU38" s="458">
        <f t="shared" si="33"/>
        <v>187045.52</v>
      </c>
      <c r="AV38" s="458">
        <f t="shared" si="33"/>
        <v>205905.5</v>
      </c>
      <c r="AW38" s="458">
        <f t="shared" si="33"/>
        <v>210122.5825</v>
      </c>
      <c r="AX38" s="458">
        <f t="shared" si="33"/>
        <v>214839.865</v>
      </c>
      <c r="AY38" s="458">
        <f t="shared" si="33"/>
        <v>219512.465</v>
      </c>
      <c r="AZ38" s="458">
        <f t="shared" si="33"/>
        <v>224461.5475</v>
      </c>
      <c r="BA38" s="459">
        <f t="shared" si="33"/>
        <v>229646.5475</v>
      </c>
      <c r="BB38" s="457">
        <f t="shared" si="33"/>
        <v>293887.447</v>
      </c>
      <c r="BC38" s="458">
        <f t="shared" si="33"/>
        <v>299625.41199999995</v>
      </c>
      <c r="BD38" s="458">
        <f t="shared" si="33"/>
        <v>306006.012</v>
      </c>
      <c r="BE38" s="458">
        <f t="shared" si="33"/>
        <v>312175.09449999995</v>
      </c>
      <c r="BF38" s="458">
        <f t="shared" si="33"/>
        <v>319791.85949999996</v>
      </c>
      <c r="BG38" s="458">
        <f t="shared" si="33"/>
        <v>326892.2595</v>
      </c>
      <c r="BH38" s="458">
        <f t="shared" si="33"/>
        <v>349760.2445</v>
      </c>
      <c r="BI38" s="458">
        <f t="shared" si="33"/>
        <v>357954.52699999994</v>
      </c>
      <c r="BJ38" s="458">
        <f t="shared" si="33"/>
        <v>366726.327</v>
      </c>
      <c r="BK38" s="458">
        <f t="shared" si="33"/>
        <v>376014.49199999997</v>
      </c>
      <c r="BL38" s="458">
        <f t="shared" si="33"/>
        <v>385331.17449999996</v>
      </c>
      <c r="BM38" s="459">
        <f t="shared" si="33"/>
        <v>395871.97449999995</v>
      </c>
    </row>
    <row r="39" spans="2:65" ht="16.05" customHeight="1" thickBot="1">
      <c r="B39" s="112" t="s">
        <v>338</v>
      </c>
      <c r="C39" s="526">
        <f aca="true" t="shared" si="34" ref="C39:D39">+C45*(1+$C$5)</f>
        <v>0</v>
      </c>
      <c r="D39" s="526">
        <f t="shared" si="34"/>
        <v>0</v>
      </c>
      <c r="E39" s="527">
        <f aca="true" t="shared" si="35" ref="E39:AJ39">+E45*(1+$C$5)</f>
        <v>0</v>
      </c>
      <c r="F39" s="461">
        <f t="shared" si="35"/>
        <v>4107.74</v>
      </c>
      <c r="G39" s="461">
        <f t="shared" si="35"/>
        <v>447.74</v>
      </c>
      <c r="H39" s="461">
        <f t="shared" si="35"/>
        <v>447.74</v>
      </c>
      <c r="I39" s="461">
        <f t="shared" si="35"/>
        <v>447.74</v>
      </c>
      <c r="J39" s="461">
        <f t="shared" si="35"/>
        <v>447.74</v>
      </c>
      <c r="K39" s="461">
        <f t="shared" si="35"/>
        <v>8255.959599999998</v>
      </c>
      <c r="L39" s="461">
        <f t="shared" si="35"/>
        <v>3497.6424</v>
      </c>
      <c r="M39" s="461">
        <f t="shared" si="35"/>
        <v>447.74</v>
      </c>
      <c r="N39" s="461">
        <f t="shared" si="35"/>
        <v>447.74</v>
      </c>
      <c r="O39" s="461">
        <f t="shared" si="35"/>
        <v>36959.57771666666</v>
      </c>
      <c r="P39" s="461">
        <f t="shared" si="35"/>
        <v>25288.911316666665</v>
      </c>
      <c r="Q39" s="462">
        <f t="shared" si="35"/>
        <v>25540.341116666663</v>
      </c>
      <c r="R39" s="460">
        <f t="shared" si="35"/>
        <v>69176.45951999999</v>
      </c>
      <c r="S39" s="461">
        <f t="shared" si="35"/>
        <v>40452.09631999999</v>
      </c>
      <c r="T39" s="461">
        <f t="shared" si="35"/>
        <v>41039.52631999999</v>
      </c>
      <c r="U39" s="461">
        <f t="shared" si="35"/>
        <v>41273.81512</v>
      </c>
      <c r="V39" s="461">
        <f t="shared" si="35"/>
        <v>41508.10391999999</v>
      </c>
      <c r="W39" s="461">
        <f t="shared" si="35"/>
        <v>41745.46711999999</v>
      </c>
      <c r="X39" s="461">
        <f t="shared" si="35"/>
        <v>46266.128319999996</v>
      </c>
      <c r="Y39" s="461">
        <f t="shared" si="35"/>
        <v>46507.313474999995</v>
      </c>
      <c r="Z39" s="461">
        <f t="shared" si="35"/>
        <v>46811.31307499999</v>
      </c>
      <c r="AA39" s="461">
        <f t="shared" si="35"/>
        <v>47049.188675000005</v>
      </c>
      <c r="AB39" s="461">
        <f t="shared" si="35"/>
        <v>47349.77227499999</v>
      </c>
      <c r="AC39" s="462">
        <f t="shared" si="35"/>
        <v>47660.66822999999</v>
      </c>
      <c r="AD39" s="460">
        <f t="shared" si="35"/>
        <v>117108.29196499997</v>
      </c>
      <c r="AE39" s="461">
        <f t="shared" si="35"/>
        <v>74713.31636499999</v>
      </c>
      <c r="AF39" s="461">
        <f t="shared" si="35"/>
        <v>75087.43272</v>
      </c>
      <c r="AG39" s="461">
        <f t="shared" si="35"/>
        <v>75389.55351999999</v>
      </c>
      <c r="AH39" s="461">
        <f t="shared" si="35"/>
        <v>75760.36031999998</v>
      </c>
      <c r="AI39" s="461">
        <f t="shared" si="35"/>
        <v>76135.50147499998</v>
      </c>
      <c r="AJ39" s="461">
        <f t="shared" si="35"/>
        <v>76507.33307499999</v>
      </c>
      <c r="AK39" s="461">
        <f aca="true" t="shared" si="36" ref="AK39:BM39">+AK45*(1+$C$5)</f>
        <v>76879.16467499999</v>
      </c>
      <c r="AL39" s="461">
        <f t="shared" si="36"/>
        <v>77324.01662999997</v>
      </c>
      <c r="AM39" s="461">
        <f t="shared" si="36"/>
        <v>77696.87302999997</v>
      </c>
      <c r="AN39" s="461">
        <f t="shared" si="36"/>
        <v>78201.63583</v>
      </c>
      <c r="AO39" s="462">
        <f t="shared" si="36"/>
        <v>78638.22502999997</v>
      </c>
      <c r="AP39" s="460">
        <f t="shared" si="36"/>
        <v>174757.296615</v>
      </c>
      <c r="AQ39" s="461">
        <f t="shared" si="36"/>
        <v>119149.98056999999</v>
      </c>
      <c r="AR39" s="461">
        <f t="shared" si="36"/>
        <v>119656.79297</v>
      </c>
      <c r="AS39" s="461">
        <f t="shared" si="36"/>
        <v>120232.80377</v>
      </c>
      <c r="AT39" s="461">
        <f t="shared" si="36"/>
        <v>120866.28328</v>
      </c>
      <c r="AU39" s="461">
        <f t="shared" si="36"/>
        <v>121493.48528</v>
      </c>
      <c r="AV39" s="461">
        <f t="shared" si="36"/>
        <v>131053.925</v>
      </c>
      <c r="AW39" s="461">
        <f t="shared" si="36"/>
        <v>131814.464155</v>
      </c>
      <c r="AX39" s="461">
        <f t="shared" si="36"/>
        <v>132582.00611</v>
      </c>
      <c r="AY39" s="461">
        <f t="shared" si="36"/>
        <v>133342.82250999997</v>
      </c>
      <c r="AZ39" s="461">
        <f t="shared" si="36"/>
        <v>134174.609665</v>
      </c>
      <c r="BA39" s="462">
        <f t="shared" si="36"/>
        <v>135003.59966500002</v>
      </c>
      <c r="BB39" s="460">
        <f t="shared" si="36"/>
        <v>247314.3462246666</v>
      </c>
      <c r="BC39" s="461">
        <f t="shared" si="36"/>
        <v>190884.27773466668</v>
      </c>
      <c r="BD39" s="461">
        <f t="shared" si="36"/>
        <v>191913.00613466665</v>
      </c>
      <c r="BE39" s="461">
        <f t="shared" si="36"/>
        <v>192883.87328966666</v>
      </c>
      <c r="BF39" s="461">
        <f t="shared" si="36"/>
        <v>194112.90799966667</v>
      </c>
      <c r="BG39" s="461">
        <f t="shared" si="36"/>
        <v>195261.51359966665</v>
      </c>
      <c r="BH39" s="461">
        <f t="shared" si="36"/>
        <v>205427.06538966665</v>
      </c>
      <c r="BI39" s="461">
        <f t="shared" si="36"/>
        <v>206719.08534466667</v>
      </c>
      <c r="BJ39" s="461">
        <f t="shared" si="36"/>
        <v>208135.09054466666</v>
      </c>
      <c r="BK39" s="461">
        <f t="shared" si="36"/>
        <v>209570.52485466664</v>
      </c>
      <c r="BL39" s="461">
        <f t="shared" si="36"/>
        <v>211061.25840966665</v>
      </c>
      <c r="BM39" s="462">
        <f t="shared" si="36"/>
        <v>212685.02960966667</v>
      </c>
    </row>
    <row r="40" spans="21:58" ht="16.05" customHeight="1" thickBot="1">
      <c r="U40" s="91"/>
      <c r="V40" s="91"/>
      <c r="AG40" s="91"/>
      <c r="AH40" s="91"/>
      <c r="AS40" s="91"/>
      <c r="AT40" s="91"/>
      <c r="BE40" s="91"/>
      <c r="BF40" s="91"/>
    </row>
    <row r="41" spans="2:65" s="52" customFormat="1" ht="34.95" customHeight="1">
      <c r="B41" s="1603" t="s">
        <v>201</v>
      </c>
      <c r="C41" s="1619">
        <f>+C35</f>
        <v>2019</v>
      </c>
      <c r="D41" s="1620"/>
      <c r="E41" s="1621">
        <f>+E35</f>
        <v>0</v>
      </c>
      <c r="F41" s="1579">
        <f>+F35</f>
        <v>2020</v>
      </c>
      <c r="G41" s="1579"/>
      <c r="H41" s="1579"/>
      <c r="I41" s="1579"/>
      <c r="J41" s="1579"/>
      <c r="K41" s="1579"/>
      <c r="L41" s="1579"/>
      <c r="M41" s="1579"/>
      <c r="N41" s="1579"/>
      <c r="O41" s="1579"/>
      <c r="P41" s="1579"/>
      <c r="Q41" s="1580"/>
      <c r="R41" s="1595">
        <f>1+F41</f>
        <v>2021</v>
      </c>
      <c r="S41" s="1579"/>
      <c r="T41" s="1579"/>
      <c r="U41" s="1579"/>
      <c r="V41" s="1579"/>
      <c r="W41" s="1579"/>
      <c r="X41" s="1579"/>
      <c r="Y41" s="1579"/>
      <c r="Z41" s="1579"/>
      <c r="AA41" s="1579"/>
      <c r="AB41" s="1579"/>
      <c r="AC41" s="1580"/>
      <c r="AD41" s="1595">
        <f>1+R41</f>
        <v>2022</v>
      </c>
      <c r="AE41" s="1579"/>
      <c r="AF41" s="1579"/>
      <c r="AG41" s="1579"/>
      <c r="AH41" s="1579"/>
      <c r="AI41" s="1579"/>
      <c r="AJ41" s="1579"/>
      <c r="AK41" s="1579"/>
      <c r="AL41" s="1579"/>
      <c r="AM41" s="1579"/>
      <c r="AN41" s="1579"/>
      <c r="AO41" s="1580"/>
      <c r="AP41" s="1595">
        <f>1+AD41</f>
        <v>2023</v>
      </c>
      <c r="AQ41" s="1579"/>
      <c r="AR41" s="1579"/>
      <c r="AS41" s="1579"/>
      <c r="AT41" s="1579"/>
      <c r="AU41" s="1579"/>
      <c r="AV41" s="1579"/>
      <c r="AW41" s="1579"/>
      <c r="AX41" s="1579"/>
      <c r="AY41" s="1579"/>
      <c r="AZ41" s="1579"/>
      <c r="BA41" s="1580"/>
      <c r="BB41" s="1595">
        <f>1+AP41</f>
        <v>2024</v>
      </c>
      <c r="BC41" s="1579"/>
      <c r="BD41" s="1579"/>
      <c r="BE41" s="1579"/>
      <c r="BF41" s="1579"/>
      <c r="BG41" s="1579"/>
      <c r="BH41" s="1579"/>
      <c r="BI41" s="1579"/>
      <c r="BJ41" s="1579"/>
      <c r="BK41" s="1579"/>
      <c r="BL41" s="1579"/>
      <c r="BM41" s="1580"/>
    </row>
    <row r="42" spans="2:65" s="52" customFormat="1" ht="16.2" thickBot="1">
      <c r="B42" s="1604"/>
      <c r="C42" s="1622"/>
      <c r="D42" s="1623"/>
      <c r="E42" s="1624"/>
      <c r="F42" s="1581"/>
      <c r="G42" s="1581"/>
      <c r="H42" s="1581"/>
      <c r="I42" s="1581"/>
      <c r="J42" s="1581"/>
      <c r="K42" s="1581"/>
      <c r="L42" s="1581"/>
      <c r="M42" s="1581"/>
      <c r="N42" s="1581"/>
      <c r="O42" s="1581"/>
      <c r="P42" s="1581"/>
      <c r="Q42" s="1582"/>
      <c r="R42" s="1596"/>
      <c r="S42" s="1581"/>
      <c r="T42" s="1581"/>
      <c r="U42" s="1581"/>
      <c r="V42" s="1581"/>
      <c r="W42" s="1581"/>
      <c r="X42" s="1581"/>
      <c r="Y42" s="1581"/>
      <c r="Z42" s="1581"/>
      <c r="AA42" s="1581"/>
      <c r="AB42" s="1581"/>
      <c r="AC42" s="1582"/>
      <c r="AD42" s="1596"/>
      <c r="AE42" s="1581"/>
      <c r="AF42" s="1581"/>
      <c r="AG42" s="1581"/>
      <c r="AH42" s="1581"/>
      <c r="AI42" s="1581"/>
      <c r="AJ42" s="1581"/>
      <c r="AK42" s="1581"/>
      <c r="AL42" s="1581"/>
      <c r="AM42" s="1581"/>
      <c r="AN42" s="1581"/>
      <c r="AO42" s="1582"/>
      <c r="AP42" s="1596"/>
      <c r="AQ42" s="1581"/>
      <c r="AR42" s="1581"/>
      <c r="AS42" s="1581"/>
      <c r="AT42" s="1581"/>
      <c r="AU42" s="1581"/>
      <c r="AV42" s="1581"/>
      <c r="AW42" s="1581"/>
      <c r="AX42" s="1581"/>
      <c r="AY42" s="1581"/>
      <c r="AZ42" s="1581"/>
      <c r="BA42" s="1582"/>
      <c r="BB42" s="1596"/>
      <c r="BC42" s="1581"/>
      <c r="BD42" s="1581"/>
      <c r="BE42" s="1581"/>
      <c r="BF42" s="1581"/>
      <c r="BG42" s="1581"/>
      <c r="BH42" s="1581"/>
      <c r="BI42" s="1581"/>
      <c r="BJ42" s="1581"/>
      <c r="BK42" s="1581"/>
      <c r="BL42" s="1581"/>
      <c r="BM42" s="1582"/>
    </row>
    <row r="43" spans="2:65" s="52" customFormat="1" ht="16.2" thickBot="1">
      <c r="B43" s="1605"/>
      <c r="C43" s="275" t="s">
        <v>195</v>
      </c>
      <c r="D43" s="275" t="s">
        <v>196</v>
      </c>
      <c r="E43" s="524" t="s">
        <v>197</v>
      </c>
      <c r="F43" s="275" t="s">
        <v>187</v>
      </c>
      <c r="G43" s="275" t="s">
        <v>188</v>
      </c>
      <c r="H43" s="275" t="s">
        <v>189</v>
      </c>
      <c r="I43" s="275" t="s">
        <v>190</v>
      </c>
      <c r="J43" s="275" t="s">
        <v>8</v>
      </c>
      <c r="K43" s="275" t="s">
        <v>191</v>
      </c>
      <c r="L43" s="275" t="s">
        <v>192</v>
      </c>
      <c r="M43" s="275" t="s">
        <v>193</v>
      </c>
      <c r="N43" s="275" t="s">
        <v>194</v>
      </c>
      <c r="O43" s="275" t="s">
        <v>195</v>
      </c>
      <c r="P43" s="275" t="s">
        <v>196</v>
      </c>
      <c r="Q43" s="524" t="s">
        <v>197</v>
      </c>
      <c r="R43" s="523" t="s">
        <v>187</v>
      </c>
      <c r="S43" s="275" t="s">
        <v>188</v>
      </c>
      <c r="T43" s="275" t="s">
        <v>189</v>
      </c>
      <c r="U43" s="275" t="s">
        <v>190</v>
      </c>
      <c r="V43" s="275" t="s">
        <v>8</v>
      </c>
      <c r="W43" s="275" t="s">
        <v>191</v>
      </c>
      <c r="X43" s="275" t="s">
        <v>192</v>
      </c>
      <c r="Y43" s="275" t="s">
        <v>193</v>
      </c>
      <c r="Z43" s="275" t="s">
        <v>194</v>
      </c>
      <c r="AA43" s="275" t="s">
        <v>195</v>
      </c>
      <c r="AB43" s="275" t="s">
        <v>196</v>
      </c>
      <c r="AC43" s="524" t="s">
        <v>197</v>
      </c>
      <c r="AD43" s="523" t="s">
        <v>187</v>
      </c>
      <c r="AE43" s="275" t="s">
        <v>188</v>
      </c>
      <c r="AF43" s="275" t="s">
        <v>189</v>
      </c>
      <c r="AG43" s="275" t="s">
        <v>190</v>
      </c>
      <c r="AH43" s="275" t="s">
        <v>8</v>
      </c>
      <c r="AI43" s="275" t="s">
        <v>191</v>
      </c>
      <c r="AJ43" s="275" t="s">
        <v>192</v>
      </c>
      <c r="AK43" s="275" t="s">
        <v>193</v>
      </c>
      <c r="AL43" s="275" t="s">
        <v>194</v>
      </c>
      <c r="AM43" s="275" t="s">
        <v>195</v>
      </c>
      <c r="AN43" s="275" t="s">
        <v>196</v>
      </c>
      <c r="AO43" s="524" t="s">
        <v>197</v>
      </c>
      <c r="AP43" s="523" t="s">
        <v>187</v>
      </c>
      <c r="AQ43" s="275" t="s">
        <v>188</v>
      </c>
      <c r="AR43" s="275" t="s">
        <v>189</v>
      </c>
      <c r="AS43" s="275" t="s">
        <v>190</v>
      </c>
      <c r="AT43" s="275" t="s">
        <v>8</v>
      </c>
      <c r="AU43" s="275" t="s">
        <v>191</v>
      </c>
      <c r="AV43" s="275" t="s">
        <v>192</v>
      </c>
      <c r="AW43" s="275" t="s">
        <v>193</v>
      </c>
      <c r="AX43" s="275" t="s">
        <v>194</v>
      </c>
      <c r="AY43" s="275" t="s">
        <v>195</v>
      </c>
      <c r="AZ43" s="275" t="s">
        <v>196</v>
      </c>
      <c r="BA43" s="524" t="s">
        <v>197</v>
      </c>
      <c r="BB43" s="523" t="s">
        <v>187</v>
      </c>
      <c r="BC43" s="275" t="s">
        <v>188</v>
      </c>
      <c r="BD43" s="275" t="s">
        <v>189</v>
      </c>
      <c r="BE43" s="275" t="s">
        <v>190</v>
      </c>
      <c r="BF43" s="275" t="s">
        <v>8</v>
      </c>
      <c r="BG43" s="275" t="s">
        <v>191</v>
      </c>
      <c r="BH43" s="275" t="s">
        <v>192</v>
      </c>
      <c r="BI43" s="275" t="s">
        <v>193</v>
      </c>
      <c r="BJ43" s="275" t="s">
        <v>194</v>
      </c>
      <c r="BK43" s="275" t="s">
        <v>195</v>
      </c>
      <c r="BL43" s="275" t="s">
        <v>196</v>
      </c>
      <c r="BM43" s="524" t="s">
        <v>197</v>
      </c>
    </row>
    <row r="44" spans="2:65" ht="16.05" customHeight="1">
      <c r="B44" s="103" t="s">
        <v>214</v>
      </c>
      <c r="C44" s="232">
        <f>+WC!C33</f>
        <v>0</v>
      </c>
      <c r="D44" s="232">
        <f>+WC!D33</f>
        <v>0</v>
      </c>
      <c r="E44" s="300">
        <f>+WC!E33</f>
        <v>0</v>
      </c>
      <c r="F44" s="457">
        <f>+WC!F33</f>
        <v>33.791666666666664</v>
      </c>
      <c r="G44" s="458">
        <f>+WC!G33</f>
        <v>33.791666666666664</v>
      </c>
      <c r="H44" s="458">
        <f>+WC!H33</f>
        <v>33.791666666666664</v>
      </c>
      <c r="I44" s="458">
        <f>+WC!I33</f>
        <v>33.791666666666664</v>
      </c>
      <c r="J44" s="458">
        <f>+WC!J33</f>
        <v>33.791666666666664</v>
      </c>
      <c r="K44" s="458">
        <f>+WC!K33</f>
        <v>8403.791666666666</v>
      </c>
      <c r="L44" s="458">
        <f>+WC!L33</f>
        <v>2813.7916666666665</v>
      </c>
      <c r="M44" s="458">
        <f>+WC!M33</f>
        <v>33.791666666666664</v>
      </c>
      <c r="N44" s="458">
        <f>+WC!N33</f>
        <v>33.791666666666664</v>
      </c>
      <c r="O44" s="458">
        <f>+WC!O33</f>
        <v>16062.541666666666</v>
      </c>
      <c r="P44" s="458">
        <f>+WC!P33</f>
        <v>18482.541666666668</v>
      </c>
      <c r="Q44" s="459">
        <f>+WC!Q33</f>
        <v>18917.541666666668</v>
      </c>
      <c r="R44" s="457">
        <f>+WC!R33</f>
        <v>34677.791666666664</v>
      </c>
      <c r="S44" s="458">
        <f>+WC!S33</f>
        <v>38637.791666666664</v>
      </c>
      <c r="T44" s="458">
        <f>+WC!T33</f>
        <v>40887.791666666664</v>
      </c>
      <c r="U44" s="458">
        <f>+WC!U33</f>
        <v>41747.791666666664</v>
      </c>
      <c r="V44" s="458">
        <f>+WC!V33</f>
        <v>42607.791666666664</v>
      </c>
      <c r="W44" s="458">
        <f>+WC!W33</f>
        <v>43647.791666666664</v>
      </c>
      <c r="X44" s="458">
        <f>+WC!X33</f>
        <v>49037.791666666664</v>
      </c>
      <c r="Y44" s="458">
        <f>+WC!Y33</f>
        <v>49944.416666666664</v>
      </c>
      <c r="Z44" s="458">
        <f>+WC!Z33</f>
        <v>51314.416666666664</v>
      </c>
      <c r="AA44" s="458">
        <f>+WC!AA33</f>
        <v>52384.416666666664</v>
      </c>
      <c r="AB44" s="458">
        <f>+WC!AB33</f>
        <v>53554.416666666664</v>
      </c>
      <c r="AC44" s="459">
        <f>+WC!AC33</f>
        <v>54971.041666666664</v>
      </c>
      <c r="AD44" s="457">
        <f>+WC!AD33</f>
        <v>81957.375</v>
      </c>
      <c r="AE44" s="458">
        <f>+WC!AE33</f>
        <v>83387.375</v>
      </c>
      <c r="AF44" s="458">
        <f>+WC!AF33</f>
        <v>84934</v>
      </c>
      <c r="AG44" s="458">
        <f>+WC!AG33</f>
        <v>86194</v>
      </c>
      <c r="AH44" s="458">
        <f>+WC!AH33</f>
        <v>87904</v>
      </c>
      <c r="AI44" s="458">
        <f>+WC!AI33</f>
        <v>89510.625</v>
      </c>
      <c r="AJ44" s="458">
        <f>+WC!AJ33</f>
        <v>91280.625</v>
      </c>
      <c r="AK44" s="458">
        <f>+WC!AK33</f>
        <v>93050.625</v>
      </c>
      <c r="AL44" s="458">
        <f>+WC!AL33</f>
        <v>95167.25</v>
      </c>
      <c r="AM44" s="458">
        <f>+WC!AM33</f>
        <v>96997.25</v>
      </c>
      <c r="AN44" s="458">
        <f>+WC!AN33</f>
        <v>99407.25</v>
      </c>
      <c r="AO44" s="459">
        <f>+WC!AO33</f>
        <v>101397.25</v>
      </c>
      <c r="AP44" s="457">
        <f>+WC!AP33</f>
        <v>139306.125</v>
      </c>
      <c r="AQ44" s="458">
        <f>+WC!AQ33</f>
        <v>141822.75</v>
      </c>
      <c r="AR44" s="458">
        <f>+WC!AR33</f>
        <v>144352.75</v>
      </c>
      <c r="AS44" s="458">
        <f>+WC!AS33</f>
        <v>147362.75</v>
      </c>
      <c r="AT44" s="458">
        <f>+WC!AT33</f>
        <v>150166</v>
      </c>
      <c r="AU44" s="458">
        <f>+WC!AU33</f>
        <v>153316</v>
      </c>
      <c r="AV44" s="458">
        <f>+WC!AV33</f>
        <v>168775</v>
      </c>
      <c r="AW44" s="458">
        <f>+WC!AW33</f>
        <v>172231.625</v>
      </c>
      <c r="AX44" s="458">
        <f>+WC!AX33</f>
        <v>176098.25</v>
      </c>
      <c r="AY44" s="458">
        <f>+WC!AY33</f>
        <v>179928.25</v>
      </c>
      <c r="AZ44" s="458">
        <f>+WC!AZ33</f>
        <v>183984.875</v>
      </c>
      <c r="BA44" s="459">
        <f>+WC!BA33</f>
        <v>188234.875</v>
      </c>
      <c r="BB44" s="457">
        <f>+WC!BB33</f>
        <v>240891.34999999998</v>
      </c>
      <c r="BC44" s="458">
        <f>+WC!BC33</f>
        <v>245594.59999999998</v>
      </c>
      <c r="BD44" s="458">
        <f>+WC!BD33</f>
        <v>250824.59999999998</v>
      </c>
      <c r="BE44" s="458">
        <f>+WC!BE33</f>
        <v>255881.22499999998</v>
      </c>
      <c r="BF44" s="458">
        <f>+WC!BF33</f>
        <v>262124.47499999998</v>
      </c>
      <c r="BG44" s="458">
        <f>+WC!BG33</f>
        <v>267944.475</v>
      </c>
      <c r="BH44" s="458">
        <f>+WC!BH33</f>
        <v>286688.725</v>
      </c>
      <c r="BI44" s="458">
        <f>+WC!BI33</f>
        <v>293405.35</v>
      </c>
      <c r="BJ44" s="458">
        <f>+WC!BJ33</f>
        <v>300595.35</v>
      </c>
      <c r="BK44" s="458">
        <f>+WC!BK33</f>
        <v>308208.6</v>
      </c>
      <c r="BL44" s="458">
        <f>+WC!BL33</f>
        <v>315845.225</v>
      </c>
      <c r="BM44" s="459">
        <f>+WC!BM33</f>
        <v>324485.225</v>
      </c>
    </row>
    <row r="45" spans="2:65" ht="16.05" customHeight="1" thickBot="1">
      <c r="B45" s="112" t="s">
        <v>338</v>
      </c>
      <c r="C45" s="526">
        <f>+WC!C35</f>
        <v>0</v>
      </c>
      <c r="D45" s="526">
        <f>+WC!D35</f>
        <v>0</v>
      </c>
      <c r="E45" s="527">
        <f>+WC!E35</f>
        <v>0</v>
      </c>
      <c r="F45" s="460">
        <f>WC!F35-' HR Breakdown'!C38</f>
        <v>3367</v>
      </c>
      <c r="G45" s="461">
        <f>WC!G35-' HR Breakdown'!D38</f>
        <v>367</v>
      </c>
      <c r="H45" s="461">
        <f>WC!H35-' HR Breakdown'!E38</f>
        <v>367</v>
      </c>
      <c r="I45" s="461">
        <f>WC!I35-' HR Breakdown'!F38</f>
        <v>367</v>
      </c>
      <c r="J45" s="461">
        <f>WC!J35-' HR Breakdown'!G38</f>
        <v>367</v>
      </c>
      <c r="K45" s="461">
        <f>WC!K35-' HR Breakdown'!H38</f>
        <v>6767.179999999999</v>
      </c>
      <c r="L45" s="461">
        <f>WC!L35-' HR Breakdown'!I38</f>
        <v>2866.92</v>
      </c>
      <c r="M45" s="461">
        <f>WC!M35-' HR Breakdown'!J38</f>
        <v>367</v>
      </c>
      <c r="N45" s="461">
        <f>WC!N35-' HR Breakdown'!K38</f>
        <v>367</v>
      </c>
      <c r="O45" s="461">
        <f>WC!O35-' HR Breakdown'!L38</f>
        <v>30294.73583333333</v>
      </c>
      <c r="P45" s="461">
        <f>WC!P35-' HR Breakdown'!M38</f>
        <v>20728.615833333333</v>
      </c>
      <c r="Q45" s="462">
        <f>WC!Q35-' HR Breakdown'!N38</f>
        <v>20934.70583333333</v>
      </c>
      <c r="R45" s="460">
        <f>WC!R35-' HR Breakdown'!O38</f>
        <v>56702.01599999999</v>
      </c>
      <c r="S45" s="461">
        <f>WC!S35-' HR Breakdown'!P38</f>
        <v>33157.45599999999</v>
      </c>
      <c r="T45" s="461">
        <f>WC!T35-' HR Breakdown'!Q38</f>
        <v>33638.95599999999</v>
      </c>
      <c r="U45" s="461">
        <f>WC!U35-' HR Breakdown'!R38</f>
        <v>33830.996</v>
      </c>
      <c r="V45" s="461">
        <f>WC!V35-' HR Breakdown'!S38</f>
        <v>34023.03599999999</v>
      </c>
      <c r="W45" s="461">
        <f>WC!W35-' HR Breakdown'!T38</f>
        <v>34217.59599999999</v>
      </c>
      <c r="X45" s="461">
        <f>WC!X35-' HR Breakdown'!U38</f>
        <v>37923.056</v>
      </c>
      <c r="Y45" s="461">
        <f>WC!Y35-' HR Breakdown'!V38</f>
        <v>38120.74875</v>
      </c>
      <c r="Z45" s="461">
        <f>WC!Z35-' HR Breakdown'!W38</f>
        <v>38369.92874999999</v>
      </c>
      <c r="AA45" s="461">
        <f>WC!AA35-' HR Breakdown'!X38</f>
        <v>38564.90875</v>
      </c>
      <c r="AB45" s="461">
        <f>WC!AB35-' HR Breakdown'!Y38</f>
        <v>38811.28874999999</v>
      </c>
      <c r="AC45" s="462">
        <f>WC!AC35-' HR Breakdown'!Z38</f>
        <v>39066.121499999994</v>
      </c>
      <c r="AD45" s="460">
        <f>WC!AD35-' HR Breakdown'!AA38</f>
        <v>95990.40324999997</v>
      </c>
      <c r="AE45" s="461">
        <f>WC!AE35-' HR Breakdown'!AB38</f>
        <v>61240.42324999999</v>
      </c>
      <c r="AF45" s="461">
        <f>WC!AF35-' HR Breakdown'!AC38</f>
        <v>61547.076</v>
      </c>
      <c r="AG45" s="461">
        <f>WC!AG35-' HR Breakdown'!AD38</f>
        <v>61794.715999999986</v>
      </c>
      <c r="AH45" s="461">
        <f>WC!AH35-' HR Breakdown'!AE38</f>
        <v>62098.65599999999</v>
      </c>
      <c r="AI45" s="461">
        <f>WC!AI35-' HR Breakdown'!AF38</f>
        <v>62406.14874999999</v>
      </c>
      <c r="AJ45" s="461">
        <f>WC!AJ35-' HR Breakdown'!AG38</f>
        <v>62710.92874999999</v>
      </c>
      <c r="AK45" s="461">
        <f>WC!AK35-' HR Breakdown'!AH38</f>
        <v>63015.70874999999</v>
      </c>
      <c r="AL45" s="461">
        <f>WC!AL35-' HR Breakdown'!AI38</f>
        <v>63380.34149999998</v>
      </c>
      <c r="AM45" s="461">
        <f>WC!AM35-' HR Breakdown'!AJ38</f>
        <v>63685.961499999976</v>
      </c>
      <c r="AN45" s="461">
        <f>WC!AN35-' HR Breakdown'!AK38</f>
        <v>64099.701499999996</v>
      </c>
      <c r="AO45" s="462">
        <f>WC!AO35-' HR Breakdown'!AL38</f>
        <v>64457.56149999998</v>
      </c>
      <c r="AP45" s="460">
        <f>WC!AP35-' HR Breakdown'!AM38</f>
        <v>143243.68575</v>
      </c>
      <c r="AQ45" s="461">
        <f>WC!AQ35-' HR Breakdown'!AN38</f>
        <v>97663.91849999999</v>
      </c>
      <c r="AR45" s="461">
        <f>WC!AR35-' HR Breakdown'!AO38</f>
        <v>98079.3385</v>
      </c>
      <c r="AS45" s="461">
        <f>WC!AS35-' HR Breakdown'!AP38</f>
        <v>98551.4785</v>
      </c>
      <c r="AT45" s="461">
        <f>WC!AT35-' HR Breakdown'!AQ38</f>
        <v>99070.724</v>
      </c>
      <c r="AU45" s="461">
        <f>WC!AU35-' HR Breakdown'!AR38</f>
        <v>99584.824</v>
      </c>
      <c r="AV45" s="461">
        <f>WC!AV35-' HR Breakdown'!AS38</f>
        <v>107421.25</v>
      </c>
      <c r="AW45" s="461">
        <f>WC!AW35-' HR Breakdown'!AT38</f>
        <v>108044.64275</v>
      </c>
      <c r="AX45" s="461">
        <f>WC!AX35-' HR Breakdown'!AU38</f>
        <v>108673.77549999999</v>
      </c>
      <c r="AY45" s="461">
        <f>WC!AY35-' HR Breakdown'!AV38</f>
        <v>109297.39549999998</v>
      </c>
      <c r="AZ45" s="461">
        <f>WC!AZ35-' HR Breakdown'!AW38</f>
        <v>109979.18825</v>
      </c>
      <c r="BA45" s="462">
        <f>WC!BA35-' HR Breakdown'!AX38</f>
        <v>110658.68825</v>
      </c>
      <c r="BB45" s="460">
        <f>WC!BB35-' HR Breakdown'!AY38</f>
        <v>202716.6772333333</v>
      </c>
      <c r="BC45" s="461">
        <f>WC!BC35-' HR Breakdown'!AZ38</f>
        <v>156462.52273333335</v>
      </c>
      <c r="BD45" s="461">
        <f>WC!BD35-' HR Breakdown'!BA38</f>
        <v>157305.74273333332</v>
      </c>
      <c r="BE45" s="461">
        <f>WC!BE35-' HR Breakdown'!BB38</f>
        <v>158101.53548333334</v>
      </c>
      <c r="BF45" s="461">
        <f>WC!BF35-' HR Breakdown'!BC38</f>
        <v>159108.94098333333</v>
      </c>
      <c r="BG45" s="461">
        <f>WC!BG35-' HR Breakdown'!BD38</f>
        <v>160050.42098333332</v>
      </c>
      <c r="BH45" s="461">
        <f>WC!BH35-' HR Breakdown'!BE38</f>
        <v>168382.84048333333</v>
      </c>
      <c r="BI45" s="461">
        <f>WC!BI35-' HR Breakdown'!BF38</f>
        <v>169441.87323333335</v>
      </c>
      <c r="BJ45" s="461">
        <f>WC!BJ35-' HR Breakdown'!BG38</f>
        <v>170602.53323333332</v>
      </c>
      <c r="BK45" s="461">
        <f>WC!BK35-' HR Breakdown'!BH38</f>
        <v>171779.1187333333</v>
      </c>
      <c r="BL45" s="461">
        <f>WC!BL35-' HR Breakdown'!BI38</f>
        <v>173001.03148333333</v>
      </c>
      <c r="BM45" s="462">
        <f>WC!BM35-' HR Breakdown'!BJ38</f>
        <v>174331.99148333335</v>
      </c>
    </row>
  </sheetData>
  <sheetProtection algorithmName="SHA-512" hashValue="bUKJ8JhgUUKHfeKihK5r7hoUh9ducFQUZPEAS6rN4Z8MNI3WTPcgy1W7AeA2sRTv0+wn3JJZLASrfnvDvps71w==" saltValue="QuWArp53fWYSE/XuF/y5qQ==" spinCount="100000" sheet="1" objects="1" scenarios="1"/>
  <mergeCells count="42">
    <mergeCell ref="BB41:BM42"/>
    <mergeCell ref="C35:E36"/>
    <mergeCell ref="C41:E42"/>
    <mergeCell ref="B35:B37"/>
    <mergeCell ref="F35:Q36"/>
    <mergeCell ref="R35:AC36"/>
    <mergeCell ref="B41:B43"/>
    <mergeCell ref="F41:Q42"/>
    <mergeCell ref="R41:AC42"/>
    <mergeCell ref="AD41:AO42"/>
    <mergeCell ref="AP41:BA42"/>
    <mergeCell ref="AD35:AO36"/>
    <mergeCell ref="AP35:BA36"/>
    <mergeCell ref="BB35:BM36"/>
    <mergeCell ref="C28:E28"/>
    <mergeCell ref="F28:Q28"/>
    <mergeCell ref="R28:AC28"/>
    <mergeCell ref="B28:B29"/>
    <mergeCell ref="BB14:BM15"/>
    <mergeCell ref="BB20:BM21"/>
    <mergeCell ref="AD14:AO15"/>
    <mergeCell ref="AD20:AO21"/>
    <mergeCell ref="AP14:BA15"/>
    <mergeCell ref="AP20:BA21"/>
    <mergeCell ref="R20:AC21"/>
    <mergeCell ref="AD28:AO28"/>
    <mergeCell ref="AP28:BA28"/>
    <mergeCell ref="BB28:BM28"/>
    <mergeCell ref="R7:AC7"/>
    <mergeCell ref="AD7:AO7"/>
    <mergeCell ref="AP7:BA7"/>
    <mergeCell ref="BB7:BM7"/>
    <mergeCell ref="R14:AC15"/>
    <mergeCell ref="C7:E7"/>
    <mergeCell ref="C14:E15"/>
    <mergeCell ref="C20:E21"/>
    <mergeCell ref="F7:Q7"/>
    <mergeCell ref="B20:B22"/>
    <mergeCell ref="F20:Q21"/>
    <mergeCell ref="F14:Q15"/>
    <mergeCell ref="B7:B8"/>
    <mergeCell ref="B14:B1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GD151"/>
  <sheetViews>
    <sheetView zoomScale="48" zoomScaleNormal="48" workbookViewId="0" topLeftCell="A1">
      <pane xSplit="2" topLeftCell="C1" activePane="topRight" state="frozen"/>
      <selection pane="topRight" activeCell="AT25" sqref="AT25"/>
    </sheetView>
  </sheetViews>
  <sheetFormatPr defaultColWidth="10.75390625" defaultRowHeight="15.75"/>
  <cols>
    <col min="1" max="1" width="10.75390625" style="2" customWidth="1"/>
    <col min="2" max="2" width="25.75390625" style="2" customWidth="1"/>
    <col min="3" max="3" width="18.75390625" style="2" customWidth="1"/>
    <col min="4" max="184" width="14.25390625" style="81" customWidth="1"/>
    <col min="185" max="248" width="14.25390625" style="2" customWidth="1"/>
    <col min="249" max="16384" width="10.75390625" style="2" customWidth="1"/>
  </cols>
  <sheetData>
    <row r="1" ht="22.95" customHeight="1"/>
    <row r="2" ht="15.75">
      <c r="B2" s="5" t="s">
        <v>137</v>
      </c>
    </row>
    <row r="3" ht="15.75">
      <c r="B3" s="5"/>
    </row>
    <row r="4" ht="15.75">
      <c r="B4" s="5"/>
    </row>
    <row r="5" ht="16.2" thickBot="1">
      <c r="B5" s="5"/>
    </row>
    <row r="6" spans="1:184" ht="15.75">
      <c r="A6" s="962">
        <v>1</v>
      </c>
      <c r="B6" s="1530">
        <v>2020</v>
      </c>
      <c r="C6" s="1532"/>
      <c r="D6" s="5"/>
      <c r="E6" s="962"/>
      <c r="FZ6" s="2"/>
      <c r="GA6" s="2"/>
      <c r="GB6" s="2"/>
    </row>
    <row r="7" spans="2:184" ht="16.2" thickBot="1">
      <c r="B7" s="1627"/>
      <c r="C7" s="1628"/>
      <c r="D7" s="5"/>
      <c r="FZ7" s="2"/>
      <c r="GA7" s="2"/>
      <c r="GB7" s="2"/>
    </row>
    <row r="8" spans="2:184" ht="16.2" thickBot="1">
      <c r="B8" s="137" t="s">
        <v>139</v>
      </c>
      <c r="C8" s="1405">
        <v>6200</v>
      </c>
      <c r="D8" s="2"/>
      <c r="FZ8" s="2"/>
      <c r="GA8" s="2"/>
      <c r="GB8" s="2"/>
    </row>
    <row r="9" spans="2:184" ht="15.75">
      <c r="B9" s="488" t="s">
        <v>140</v>
      </c>
      <c r="C9" s="727">
        <v>4</v>
      </c>
      <c r="D9" s="2"/>
      <c r="FZ9" s="2"/>
      <c r="GA9" s="2"/>
      <c r="GB9" s="2"/>
    </row>
    <row r="10" spans="2:184" ht="15.75">
      <c r="B10" s="488" t="s">
        <v>141</v>
      </c>
      <c r="C10" s="728">
        <v>0</v>
      </c>
      <c r="D10" s="2"/>
      <c r="FZ10" s="2"/>
      <c r="GA10" s="2"/>
      <c r="GB10" s="2"/>
    </row>
    <row r="11" spans="2:184" ht="15.75">
      <c r="B11" s="488" t="s">
        <v>151</v>
      </c>
      <c r="C11" s="727">
        <v>12</v>
      </c>
      <c r="D11" s="2"/>
      <c r="FZ11" s="2"/>
      <c r="GA11" s="2"/>
      <c r="GB11" s="2"/>
    </row>
    <row r="12" spans="2:184" ht="15.75">
      <c r="B12" s="488" t="s">
        <v>142</v>
      </c>
      <c r="C12" s="729">
        <f>C11*C9</f>
        <v>48</v>
      </c>
      <c r="D12" s="2"/>
      <c r="FZ12" s="2"/>
      <c r="GA12" s="2"/>
      <c r="GB12" s="2"/>
    </row>
    <row r="13" spans="2:184" ht="15.75" hidden="1">
      <c r="B13" s="488" t="s">
        <v>143</v>
      </c>
      <c r="C13" s="730">
        <v>0</v>
      </c>
      <c r="D13" s="2"/>
      <c r="FZ13" s="2"/>
      <c r="GA13" s="2"/>
      <c r="GB13" s="2"/>
    </row>
    <row r="14" spans="2:184" ht="15.75" hidden="1">
      <c r="B14" s="488" t="s">
        <v>144</v>
      </c>
      <c r="C14" s="1003">
        <v>0</v>
      </c>
      <c r="D14" s="2"/>
      <c r="FZ14" s="2"/>
      <c r="GA14" s="2"/>
      <c r="GB14" s="2"/>
    </row>
    <row r="15" spans="2:184" ht="15.75">
      <c r="B15" s="488" t="s">
        <v>145</v>
      </c>
      <c r="C15" s="1004">
        <v>0.01</v>
      </c>
      <c r="D15" s="2"/>
      <c r="FZ15" s="2"/>
      <c r="GA15" s="2"/>
      <c r="GB15" s="2"/>
    </row>
    <row r="16" spans="2:184" ht="15.75">
      <c r="B16" s="488" t="s">
        <v>150</v>
      </c>
      <c r="C16" s="1005">
        <f>C17*C11</f>
        <v>0</v>
      </c>
      <c r="D16" s="2"/>
      <c r="FZ16" s="2"/>
      <c r="GA16" s="2"/>
      <c r="GB16" s="2"/>
    </row>
    <row r="17" spans="2:184" ht="15.75">
      <c r="B17" s="488" t="s">
        <v>153</v>
      </c>
      <c r="C17" s="1005">
        <f>M23</f>
        <v>0</v>
      </c>
      <c r="D17" s="2"/>
      <c r="FZ17" s="2"/>
      <c r="GA17" s="2"/>
      <c r="GB17" s="2"/>
    </row>
    <row r="18" spans="2:184" ht="16.2" thickBot="1">
      <c r="B18" s="234" t="s">
        <v>216</v>
      </c>
      <c r="C18" s="1006">
        <f>+AVERAGE(C25:BV25)</f>
        <v>4.267098735454536</v>
      </c>
      <c r="D18" s="2"/>
      <c r="FZ18" s="2"/>
      <c r="GA18" s="2"/>
      <c r="GB18" s="2"/>
    </row>
    <row r="20" ht="16.2" thickBot="1"/>
    <row r="21" spans="2:183" ht="34.95" customHeight="1" thickBot="1">
      <c r="B21" s="139" t="s">
        <v>146</v>
      </c>
      <c r="C21" s="963">
        <v>0</v>
      </c>
      <c r="D21" s="964">
        <v>0</v>
      </c>
      <c r="E21" s="964">
        <v>0</v>
      </c>
      <c r="F21" s="964">
        <v>0</v>
      </c>
      <c r="G21" s="964">
        <v>0</v>
      </c>
      <c r="H21" s="964">
        <v>0</v>
      </c>
      <c r="I21" s="964">
        <v>0</v>
      </c>
      <c r="J21" s="964">
        <v>0</v>
      </c>
      <c r="K21" s="964">
        <v>0</v>
      </c>
      <c r="L21" s="964">
        <v>0</v>
      </c>
      <c r="M21" s="964">
        <v>0</v>
      </c>
      <c r="N21" s="964">
        <v>0</v>
      </c>
      <c r="O21" s="964">
        <v>0</v>
      </c>
      <c r="P21" s="964">
        <v>0</v>
      </c>
      <c r="Q21" s="964">
        <v>0</v>
      </c>
      <c r="R21" s="964">
        <v>0</v>
      </c>
      <c r="S21" s="964">
        <v>0</v>
      </c>
      <c r="T21" s="1400">
        <f aca="true" t="shared" si="0" ref="T21:BZ21">+S21+1</f>
        <v>1</v>
      </c>
      <c r="U21" s="964">
        <f t="shared" si="0"/>
        <v>2</v>
      </c>
      <c r="V21" s="964">
        <f t="shared" si="0"/>
        <v>3</v>
      </c>
      <c r="W21" s="964">
        <f t="shared" si="0"/>
        <v>4</v>
      </c>
      <c r="X21" s="964">
        <f t="shared" si="0"/>
        <v>5</v>
      </c>
      <c r="Y21" s="964">
        <f t="shared" si="0"/>
        <v>6</v>
      </c>
      <c r="Z21" s="964">
        <f t="shared" si="0"/>
        <v>7</v>
      </c>
      <c r="AA21" s="964">
        <f t="shared" si="0"/>
        <v>8</v>
      </c>
      <c r="AB21" s="964">
        <f t="shared" si="0"/>
        <v>9</v>
      </c>
      <c r="AC21" s="964">
        <f t="shared" si="0"/>
        <v>10</v>
      </c>
      <c r="AD21" s="964">
        <f t="shared" si="0"/>
        <v>11</v>
      </c>
      <c r="AE21" s="964">
        <f t="shared" si="0"/>
        <v>12</v>
      </c>
      <c r="AF21" s="964">
        <f t="shared" si="0"/>
        <v>13</v>
      </c>
      <c r="AG21" s="964">
        <f t="shared" si="0"/>
        <v>14</v>
      </c>
      <c r="AH21" s="964">
        <f t="shared" si="0"/>
        <v>15</v>
      </c>
      <c r="AI21" s="964">
        <f t="shared" si="0"/>
        <v>16</v>
      </c>
      <c r="AJ21" s="964">
        <f t="shared" si="0"/>
        <v>17</v>
      </c>
      <c r="AK21" s="964">
        <f t="shared" si="0"/>
        <v>18</v>
      </c>
      <c r="AL21" s="964">
        <f t="shared" si="0"/>
        <v>19</v>
      </c>
      <c r="AM21" s="964">
        <f t="shared" si="0"/>
        <v>20</v>
      </c>
      <c r="AN21" s="964">
        <f t="shared" si="0"/>
        <v>21</v>
      </c>
      <c r="AO21" s="964">
        <f t="shared" si="0"/>
        <v>22</v>
      </c>
      <c r="AP21" s="964">
        <f t="shared" si="0"/>
        <v>23</v>
      </c>
      <c r="AQ21" s="964">
        <f t="shared" si="0"/>
        <v>24</v>
      </c>
      <c r="AR21" s="964">
        <v>1</v>
      </c>
      <c r="AS21" s="964">
        <f t="shared" si="0"/>
        <v>2</v>
      </c>
      <c r="AT21" s="964">
        <f t="shared" si="0"/>
        <v>3</v>
      </c>
      <c r="AU21" s="964">
        <f t="shared" si="0"/>
        <v>4</v>
      </c>
      <c r="AV21" s="964">
        <f t="shared" si="0"/>
        <v>5</v>
      </c>
      <c r="AW21" s="964">
        <f t="shared" si="0"/>
        <v>6</v>
      </c>
      <c r="AX21" s="964">
        <f t="shared" si="0"/>
        <v>7</v>
      </c>
      <c r="AY21" s="964">
        <f t="shared" si="0"/>
        <v>8</v>
      </c>
      <c r="AZ21" s="964">
        <f t="shared" si="0"/>
        <v>9</v>
      </c>
      <c r="BA21" s="964">
        <f t="shared" si="0"/>
        <v>10</v>
      </c>
      <c r="BB21" s="964">
        <f t="shared" si="0"/>
        <v>11</v>
      </c>
      <c r="BC21" s="964">
        <f t="shared" si="0"/>
        <v>12</v>
      </c>
      <c r="BD21" s="964">
        <f t="shared" si="0"/>
        <v>13</v>
      </c>
      <c r="BE21" s="964">
        <f t="shared" si="0"/>
        <v>14</v>
      </c>
      <c r="BF21" s="964">
        <f t="shared" si="0"/>
        <v>15</v>
      </c>
      <c r="BG21" s="964">
        <f t="shared" si="0"/>
        <v>16</v>
      </c>
      <c r="BH21" s="964">
        <f t="shared" si="0"/>
        <v>17</v>
      </c>
      <c r="BI21" s="964">
        <f t="shared" si="0"/>
        <v>18</v>
      </c>
      <c r="BJ21" s="964">
        <f t="shared" si="0"/>
        <v>19</v>
      </c>
      <c r="BK21" s="964">
        <f t="shared" si="0"/>
        <v>20</v>
      </c>
      <c r="BL21" s="964">
        <f t="shared" si="0"/>
        <v>21</v>
      </c>
      <c r="BM21" s="964">
        <f t="shared" si="0"/>
        <v>22</v>
      </c>
      <c r="BN21" s="964">
        <f t="shared" si="0"/>
        <v>23</v>
      </c>
      <c r="BO21" s="964">
        <f t="shared" si="0"/>
        <v>24</v>
      </c>
      <c r="BP21" s="964">
        <f t="shared" si="0"/>
        <v>25</v>
      </c>
      <c r="BQ21" s="964">
        <f t="shared" si="0"/>
        <v>26</v>
      </c>
      <c r="BR21" s="964">
        <f t="shared" si="0"/>
        <v>27</v>
      </c>
      <c r="BS21" s="964">
        <f t="shared" si="0"/>
        <v>28</v>
      </c>
      <c r="BT21" s="964">
        <f t="shared" si="0"/>
        <v>29</v>
      </c>
      <c r="BU21" s="964">
        <f t="shared" si="0"/>
        <v>30</v>
      </c>
      <c r="BV21" s="964">
        <f t="shared" si="0"/>
        <v>31</v>
      </c>
      <c r="BW21" s="964">
        <f t="shared" si="0"/>
        <v>32</v>
      </c>
      <c r="BX21" s="964">
        <f t="shared" si="0"/>
        <v>33</v>
      </c>
      <c r="BY21" s="964">
        <f t="shared" si="0"/>
        <v>34</v>
      </c>
      <c r="BZ21" s="964">
        <f t="shared" si="0"/>
        <v>35</v>
      </c>
      <c r="CA21" s="964">
        <f aca="true" t="shared" si="1" ref="CA21:CH21">+BZ21+1</f>
        <v>36</v>
      </c>
      <c r="CB21" s="964">
        <f t="shared" si="1"/>
        <v>37</v>
      </c>
      <c r="CC21" s="964">
        <f t="shared" si="1"/>
        <v>38</v>
      </c>
      <c r="CD21" s="964">
        <f t="shared" si="1"/>
        <v>39</v>
      </c>
      <c r="CE21" s="964">
        <f t="shared" si="1"/>
        <v>40</v>
      </c>
      <c r="CF21" s="964">
        <f t="shared" si="1"/>
        <v>41</v>
      </c>
      <c r="CG21" s="964">
        <f t="shared" si="1"/>
        <v>42</v>
      </c>
      <c r="CH21" s="964">
        <f t="shared" si="1"/>
        <v>43</v>
      </c>
      <c r="CI21" s="964">
        <f aca="true" t="shared" si="2" ref="CI21">+CH21+1</f>
        <v>44</v>
      </c>
      <c r="CJ21" s="964">
        <f aca="true" t="shared" si="3" ref="CJ21">+CI21+1</f>
        <v>45</v>
      </c>
      <c r="CK21" s="964">
        <f aca="true" t="shared" si="4" ref="CK21">+CJ21+1</f>
        <v>46</v>
      </c>
      <c r="CL21" s="964">
        <f aca="true" t="shared" si="5" ref="CL21">+CK21+1</f>
        <v>47</v>
      </c>
      <c r="CM21" s="964">
        <f aca="true" t="shared" si="6" ref="CM21">+CL21+1</f>
        <v>48</v>
      </c>
      <c r="CN21" s="964">
        <f aca="true" t="shared" si="7" ref="CN21">+CM21+1</f>
        <v>49</v>
      </c>
      <c r="CO21" s="964">
        <f aca="true" t="shared" si="8" ref="CO21">+CN21+1</f>
        <v>50</v>
      </c>
      <c r="CP21" s="964">
        <f aca="true" t="shared" si="9" ref="CP21">+CO21+1</f>
        <v>51</v>
      </c>
      <c r="CQ21" s="964">
        <f aca="true" t="shared" si="10" ref="CQ21">+CP21+1</f>
        <v>52</v>
      </c>
      <c r="CR21" s="964">
        <f aca="true" t="shared" si="11" ref="CR21">+CQ21+1</f>
        <v>53</v>
      </c>
      <c r="CS21" s="964">
        <f aca="true" t="shared" si="12" ref="CS21">+CR21+1</f>
        <v>54</v>
      </c>
      <c r="CT21" s="964">
        <f aca="true" t="shared" si="13" ref="CT21">+CS21+1</f>
        <v>55</v>
      </c>
      <c r="CU21" s="964">
        <f aca="true" t="shared" si="14" ref="CU21">+CT21+1</f>
        <v>56</v>
      </c>
      <c r="CV21" s="964">
        <f aca="true" t="shared" si="15" ref="CV21">+CU21+1</f>
        <v>57</v>
      </c>
      <c r="CW21" s="964"/>
      <c r="CX21" s="964"/>
      <c r="CY21" s="964"/>
      <c r="CZ21" s="964"/>
      <c r="DA21" s="964"/>
      <c r="DB21" s="964"/>
      <c r="DC21" s="964"/>
      <c r="DD21" s="964"/>
      <c r="DE21" s="964"/>
      <c r="DF21" s="964"/>
      <c r="DG21" s="964"/>
      <c r="DH21" s="964"/>
      <c r="DI21" s="964"/>
      <c r="DJ21" s="964"/>
      <c r="DK21" s="964"/>
      <c r="DL21" s="964"/>
      <c r="DM21" s="964"/>
      <c r="DN21" s="964"/>
      <c r="DO21" s="964"/>
      <c r="DP21" s="964"/>
      <c r="DQ21" s="964"/>
      <c r="DR21" s="964"/>
      <c r="DS21" s="964"/>
      <c r="DT21" s="964"/>
      <c r="DU21" s="964"/>
      <c r="DV21" s="964"/>
      <c r="DW21" s="964"/>
      <c r="DX21" s="964"/>
      <c r="DY21" s="964"/>
      <c r="DZ21" s="964"/>
      <c r="EA21" s="964"/>
      <c r="EB21" s="964"/>
      <c r="EC21" s="964"/>
      <c r="ED21" s="964"/>
      <c r="EE21" s="964"/>
      <c r="EF21" s="964"/>
      <c r="EG21" s="964"/>
      <c r="EH21" s="964"/>
      <c r="EI21" s="964"/>
      <c r="EJ21" s="964"/>
      <c r="EK21" s="964"/>
      <c r="EL21" s="964"/>
      <c r="EM21" s="964"/>
      <c r="EN21" s="964"/>
      <c r="EO21" s="964"/>
      <c r="EP21" s="964"/>
      <c r="EQ21" s="964"/>
      <c r="ER21" s="964"/>
      <c r="ES21" s="964"/>
      <c r="ET21" s="964"/>
      <c r="EU21" s="964"/>
      <c r="EV21" s="964"/>
      <c r="EW21" s="964"/>
      <c r="EX21" s="964"/>
      <c r="EY21" s="964"/>
      <c r="EZ21" s="964"/>
      <c r="FA21" s="964"/>
      <c r="FB21" s="964"/>
      <c r="FC21" s="964"/>
      <c r="FD21" s="964"/>
      <c r="FE21" s="964"/>
      <c r="FF21" s="964"/>
      <c r="FG21" s="964"/>
      <c r="FH21" s="964"/>
      <c r="FI21" s="964"/>
      <c r="FJ21" s="964"/>
      <c r="FK21" s="964"/>
      <c r="FL21" s="964"/>
      <c r="FM21" s="964"/>
      <c r="FN21" s="964"/>
      <c r="FO21" s="964"/>
      <c r="FP21" s="964"/>
      <c r="FQ21" s="964"/>
      <c r="FR21" s="964"/>
      <c r="FS21" s="964"/>
      <c r="FT21" s="964"/>
      <c r="FU21" s="964"/>
      <c r="FV21" s="964"/>
      <c r="FW21" s="964"/>
      <c r="FX21" s="964"/>
      <c r="FY21" s="964"/>
      <c r="FZ21" s="964"/>
      <c r="GA21" s="965"/>
    </row>
    <row r="22" spans="2:184" ht="34.95" customHeight="1" thickBot="1">
      <c r="B22" s="140" t="s">
        <v>147</v>
      </c>
      <c r="C22" s="402">
        <v>43466</v>
      </c>
      <c r="D22" s="1007">
        <f>+C22+31</f>
        <v>43497</v>
      </c>
      <c r="E22" s="1007">
        <f>+D22+31</f>
        <v>43528</v>
      </c>
      <c r="F22" s="1007">
        <f aca="true" t="shared" si="16" ref="F22:BQ22">+E22+31</f>
        <v>43559</v>
      </c>
      <c r="G22" s="1007">
        <f t="shared" si="16"/>
        <v>43590</v>
      </c>
      <c r="H22" s="1007">
        <f t="shared" si="16"/>
        <v>43621</v>
      </c>
      <c r="I22" s="1007">
        <f t="shared" si="16"/>
        <v>43652</v>
      </c>
      <c r="J22" s="1007">
        <f t="shared" si="16"/>
        <v>43683</v>
      </c>
      <c r="K22" s="1007">
        <f t="shared" si="16"/>
        <v>43714</v>
      </c>
      <c r="L22" s="1007">
        <f t="shared" si="16"/>
        <v>43745</v>
      </c>
      <c r="M22" s="1007">
        <f t="shared" si="16"/>
        <v>43776</v>
      </c>
      <c r="N22" s="1007">
        <f t="shared" si="16"/>
        <v>43807</v>
      </c>
      <c r="O22" s="1007">
        <f t="shared" si="16"/>
        <v>43838</v>
      </c>
      <c r="P22" s="1007">
        <f t="shared" si="16"/>
        <v>43869</v>
      </c>
      <c r="Q22" s="1007">
        <f t="shared" si="16"/>
        <v>43900</v>
      </c>
      <c r="R22" s="1007">
        <f t="shared" si="16"/>
        <v>43931</v>
      </c>
      <c r="S22" s="1007">
        <f t="shared" si="16"/>
        <v>43962</v>
      </c>
      <c r="T22" s="1007">
        <f t="shared" si="16"/>
        <v>43993</v>
      </c>
      <c r="U22" s="1007">
        <f t="shared" si="16"/>
        <v>44024</v>
      </c>
      <c r="V22" s="1007">
        <f t="shared" si="16"/>
        <v>44055</v>
      </c>
      <c r="W22" s="1007">
        <f t="shared" si="16"/>
        <v>44086</v>
      </c>
      <c r="X22" s="1007">
        <f t="shared" si="16"/>
        <v>44117</v>
      </c>
      <c r="Y22" s="1007">
        <f t="shared" si="16"/>
        <v>44148</v>
      </c>
      <c r="Z22" s="1007">
        <f t="shared" si="16"/>
        <v>44179</v>
      </c>
      <c r="AA22" s="1007">
        <f t="shared" si="16"/>
        <v>44210</v>
      </c>
      <c r="AB22" s="1007">
        <f t="shared" si="16"/>
        <v>44241</v>
      </c>
      <c r="AC22" s="1007">
        <f t="shared" si="16"/>
        <v>44272</v>
      </c>
      <c r="AD22" s="1007">
        <f t="shared" si="16"/>
        <v>44303</v>
      </c>
      <c r="AE22" s="1007">
        <f t="shared" si="16"/>
        <v>44334</v>
      </c>
      <c r="AF22" s="1007">
        <f t="shared" si="16"/>
        <v>44365</v>
      </c>
      <c r="AG22" s="1007">
        <f t="shared" si="16"/>
        <v>44396</v>
      </c>
      <c r="AH22" s="1007">
        <f t="shared" si="16"/>
        <v>44427</v>
      </c>
      <c r="AI22" s="1007">
        <f t="shared" si="16"/>
        <v>44458</v>
      </c>
      <c r="AJ22" s="1007">
        <f t="shared" si="16"/>
        <v>44489</v>
      </c>
      <c r="AK22" s="1007">
        <f t="shared" si="16"/>
        <v>44520</v>
      </c>
      <c r="AL22" s="1007">
        <f t="shared" si="16"/>
        <v>44551</v>
      </c>
      <c r="AM22" s="1007">
        <f t="shared" si="16"/>
        <v>44582</v>
      </c>
      <c r="AN22" s="1007">
        <f t="shared" si="16"/>
        <v>44613</v>
      </c>
      <c r="AO22" s="1007">
        <f t="shared" si="16"/>
        <v>44644</v>
      </c>
      <c r="AP22" s="1007">
        <f t="shared" si="16"/>
        <v>44675</v>
      </c>
      <c r="AQ22" s="1007">
        <f t="shared" si="16"/>
        <v>44706</v>
      </c>
      <c r="AR22" s="1007">
        <f t="shared" si="16"/>
        <v>44737</v>
      </c>
      <c r="AS22" s="1007">
        <f t="shared" si="16"/>
        <v>44768</v>
      </c>
      <c r="AT22" s="1007">
        <f t="shared" si="16"/>
        <v>44799</v>
      </c>
      <c r="AU22" s="1007">
        <f t="shared" si="16"/>
        <v>44830</v>
      </c>
      <c r="AV22" s="1007">
        <f t="shared" si="16"/>
        <v>44861</v>
      </c>
      <c r="AW22" s="1007">
        <f t="shared" si="16"/>
        <v>44892</v>
      </c>
      <c r="AX22" s="1007">
        <f t="shared" si="16"/>
        <v>44923</v>
      </c>
      <c r="AY22" s="1007">
        <f t="shared" si="16"/>
        <v>44954</v>
      </c>
      <c r="AZ22" s="1007">
        <f t="shared" si="16"/>
        <v>44985</v>
      </c>
      <c r="BA22" s="1007">
        <f t="shared" si="16"/>
        <v>45016</v>
      </c>
      <c r="BB22" s="1007">
        <f>+BA22+25</f>
        <v>45041</v>
      </c>
      <c r="BC22" s="1007">
        <f t="shared" si="16"/>
        <v>45072</v>
      </c>
      <c r="BD22" s="1007">
        <f t="shared" si="16"/>
        <v>45103</v>
      </c>
      <c r="BE22" s="1007">
        <f t="shared" si="16"/>
        <v>45134</v>
      </c>
      <c r="BF22" s="1007">
        <f t="shared" si="16"/>
        <v>45165</v>
      </c>
      <c r="BG22" s="1007">
        <f t="shared" si="16"/>
        <v>45196</v>
      </c>
      <c r="BH22" s="1007">
        <f t="shared" si="16"/>
        <v>45227</v>
      </c>
      <c r="BI22" s="1007">
        <f t="shared" si="16"/>
        <v>45258</v>
      </c>
      <c r="BJ22" s="1007">
        <f t="shared" si="16"/>
        <v>45289</v>
      </c>
      <c r="BK22" s="1007">
        <f t="shared" si="16"/>
        <v>45320</v>
      </c>
      <c r="BL22" s="1007">
        <f>+BK22+25</f>
        <v>45345</v>
      </c>
      <c r="BM22" s="1007">
        <f t="shared" si="16"/>
        <v>45376</v>
      </c>
      <c r="BN22" s="1007">
        <f t="shared" si="16"/>
        <v>45407</v>
      </c>
      <c r="BO22" s="1007">
        <f t="shared" si="16"/>
        <v>45438</v>
      </c>
      <c r="BP22" s="1007">
        <f t="shared" si="16"/>
        <v>45469</v>
      </c>
      <c r="BQ22" s="1007">
        <f t="shared" si="16"/>
        <v>45500</v>
      </c>
      <c r="BR22" s="1007">
        <f aca="true" t="shared" si="17" ref="BR22:CH22">+BQ22+31</f>
        <v>45531</v>
      </c>
      <c r="BS22" s="1007">
        <f t="shared" si="17"/>
        <v>45562</v>
      </c>
      <c r="BT22" s="1007">
        <f t="shared" si="17"/>
        <v>45593</v>
      </c>
      <c r="BU22" s="1007">
        <f t="shared" si="17"/>
        <v>45624</v>
      </c>
      <c r="BV22" s="1007">
        <f t="shared" si="17"/>
        <v>45655</v>
      </c>
      <c r="BW22" s="1007">
        <f t="shared" si="17"/>
        <v>45686</v>
      </c>
      <c r="BX22" s="1007">
        <f>+BW22+25</f>
        <v>45711</v>
      </c>
      <c r="BY22" s="1007">
        <f t="shared" si="17"/>
        <v>45742</v>
      </c>
      <c r="BZ22" s="1007">
        <f t="shared" si="17"/>
        <v>45773</v>
      </c>
      <c r="CA22" s="1007">
        <f t="shared" si="17"/>
        <v>45804</v>
      </c>
      <c r="CB22" s="1007">
        <f t="shared" si="17"/>
        <v>45835</v>
      </c>
      <c r="CC22" s="1007">
        <f t="shared" si="17"/>
        <v>45866</v>
      </c>
      <c r="CD22" s="1007">
        <f t="shared" si="17"/>
        <v>45897</v>
      </c>
      <c r="CE22" s="1007">
        <f t="shared" si="17"/>
        <v>45928</v>
      </c>
      <c r="CF22" s="1007">
        <f t="shared" si="17"/>
        <v>45959</v>
      </c>
      <c r="CG22" s="1007">
        <f t="shared" si="17"/>
        <v>45990</v>
      </c>
      <c r="CH22" s="1007">
        <f t="shared" si="17"/>
        <v>46021</v>
      </c>
      <c r="CI22" s="1007">
        <f aca="true" t="shared" si="18" ref="CI22">+CH22+31</f>
        <v>46052</v>
      </c>
      <c r="CJ22" s="1007">
        <f aca="true" t="shared" si="19" ref="CJ22">+CI22+31</f>
        <v>46083</v>
      </c>
      <c r="CK22" s="1007">
        <f aca="true" t="shared" si="20" ref="CK22">+CJ22+31</f>
        <v>46114</v>
      </c>
      <c r="CL22" s="1007">
        <f aca="true" t="shared" si="21" ref="CL22">+CK22+31</f>
        <v>46145</v>
      </c>
      <c r="CM22" s="1007">
        <f aca="true" t="shared" si="22" ref="CM22">+CL22+31</f>
        <v>46176</v>
      </c>
      <c r="CN22" s="1007">
        <f aca="true" t="shared" si="23" ref="CN22">+CM22+31</f>
        <v>46207</v>
      </c>
      <c r="CO22" s="1007">
        <f aca="true" t="shared" si="24" ref="CO22">+CN22+31</f>
        <v>46238</v>
      </c>
      <c r="CP22" s="1007">
        <f aca="true" t="shared" si="25" ref="CP22">+CO22+31</f>
        <v>46269</v>
      </c>
      <c r="CQ22" s="1007">
        <f aca="true" t="shared" si="26" ref="CQ22">+CP22+31</f>
        <v>46300</v>
      </c>
      <c r="CR22" s="1007">
        <f aca="true" t="shared" si="27" ref="CR22">+CQ22+31</f>
        <v>46331</v>
      </c>
      <c r="CS22" s="1007">
        <f aca="true" t="shared" si="28" ref="CS22">+CR22+31</f>
        <v>46362</v>
      </c>
      <c r="CT22" s="1007">
        <f aca="true" t="shared" si="29" ref="CT22">+CS22+31</f>
        <v>46393</v>
      </c>
      <c r="CU22" s="1007">
        <f aca="true" t="shared" si="30" ref="CU22">+CT22+31</f>
        <v>46424</v>
      </c>
      <c r="CV22" s="1007">
        <f aca="true" t="shared" si="31" ref="CV22">+CU22+31</f>
        <v>46455</v>
      </c>
      <c r="CW22" s="1007"/>
      <c r="CX22" s="1007"/>
      <c r="CY22" s="1007"/>
      <c r="CZ22" s="1007"/>
      <c r="DA22" s="1007"/>
      <c r="DB22" s="1007"/>
      <c r="DC22" s="1007"/>
      <c r="DD22" s="1007"/>
      <c r="DE22" s="1007"/>
      <c r="DF22" s="1007"/>
      <c r="DG22" s="1007"/>
      <c r="DH22" s="1007"/>
      <c r="DI22" s="1007"/>
      <c r="DJ22" s="1007"/>
      <c r="DK22" s="1007"/>
      <c r="DL22" s="1007"/>
      <c r="DM22" s="1007"/>
      <c r="DN22" s="1007"/>
      <c r="DO22" s="1007"/>
      <c r="DP22" s="1007"/>
      <c r="DQ22" s="1007"/>
      <c r="DR22" s="1007"/>
      <c r="DS22" s="1007"/>
      <c r="DT22" s="1007"/>
      <c r="DU22" s="1007"/>
      <c r="DV22" s="1007"/>
      <c r="DW22" s="1007"/>
      <c r="DX22" s="1007"/>
      <c r="DY22" s="1007"/>
      <c r="DZ22" s="1007"/>
      <c r="EA22" s="1007"/>
      <c r="EB22" s="1007"/>
      <c r="EC22" s="1007"/>
      <c r="ED22" s="1007"/>
      <c r="EE22" s="1007"/>
      <c r="EF22" s="1007"/>
      <c r="EG22" s="1007"/>
      <c r="EH22" s="1007"/>
      <c r="EI22" s="1007"/>
      <c r="EJ22" s="1007"/>
      <c r="EK22" s="1007"/>
      <c r="EL22" s="1007"/>
      <c r="EM22" s="1007"/>
      <c r="EN22" s="1007"/>
      <c r="EO22" s="1007"/>
      <c r="EP22" s="1007"/>
      <c r="EQ22" s="1007"/>
      <c r="ER22" s="1007"/>
      <c r="ES22" s="1007"/>
      <c r="ET22" s="1007"/>
      <c r="EU22" s="1007"/>
      <c r="EV22" s="1007"/>
      <c r="EW22" s="1007"/>
      <c r="EX22" s="1007"/>
      <c r="EY22" s="1007"/>
      <c r="EZ22" s="1007"/>
      <c r="FA22" s="1007"/>
      <c r="FB22" s="1007"/>
      <c r="FC22" s="1007"/>
      <c r="FD22" s="1007"/>
      <c r="FE22" s="1007"/>
      <c r="FF22" s="1007"/>
      <c r="FG22" s="1007"/>
      <c r="FH22" s="1007"/>
      <c r="FI22" s="1007"/>
      <c r="FJ22" s="1007"/>
      <c r="FK22" s="1007"/>
      <c r="FL22" s="1007"/>
      <c r="FM22" s="1007"/>
      <c r="FN22" s="1007"/>
      <c r="FO22" s="1007"/>
      <c r="FP22" s="1007"/>
      <c r="FQ22" s="1007"/>
      <c r="FR22" s="1007"/>
      <c r="FS22" s="1007"/>
      <c r="FT22" s="1007"/>
      <c r="FU22" s="1007"/>
      <c r="FV22" s="1007"/>
      <c r="FW22" s="1007"/>
      <c r="FX22" s="1007"/>
      <c r="FY22" s="1007"/>
      <c r="FZ22" s="1007"/>
      <c r="GA22" s="1008"/>
      <c r="GB22" s="1009"/>
    </row>
    <row r="23" spans="2:183" ht="34.95" customHeight="1" thickBot="1">
      <c r="B23" s="140" t="s">
        <v>154</v>
      </c>
      <c r="C23" s="445"/>
      <c r="D23" s="445"/>
      <c r="E23" s="445"/>
      <c r="F23" s="445"/>
      <c r="G23" s="445"/>
      <c r="H23" s="445"/>
      <c r="I23" s="445"/>
      <c r="J23" s="445"/>
      <c r="K23" s="445"/>
      <c r="L23" s="445"/>
      <c r="M23" s="445"/>
      <c r="N23" s="445"/>
      <c r="O23" s="445"/>
      <c r="P23" s="445"/>
      <c r="Q23" s="445"/>
      <c r="R23" s="445"/>
      <c r="S23" s="445"/>
      <c r="T23" s="1404">
        <f>T24+T25</f>
        <v>5.166666666666667</v>
      </c>
      <c r="U23" s="1404">
        <f aca="true" t="shared" si="32" ref="U23:CF23">U24+U25</f>
        <v>5.166666666666667</v>
      </c>
      <c r="V23" s="1404">
        <f t="shared" si="32"/>
        <v>5.166666666666667</v>
      </c>
      <c r="W23" s="1404">
        <f t="shared" si="32"/>
        <v>5.166666666666667</v>
      </c>
      <c r="X23" s="1404">
        <f t="shared" si="32"/>
        <v>5.166666666666667</v>
      </c>
      <c r="Y23" s="1404">
        <f t="shared" si="32"/>
        <v>5.166666666666667</v>
      </c>
      <c r="Z23" s="1404">
        <f t="shared" si="32"/>
        <v>5.166666666666667</v>
      </c>
      <c r="AA23" s="1404">
        <f t="shared" si="32"/>
        <v>5.166666666666667</v>
      </c>
      <c r="AB23" s="1404">
        <f t="shared" si="32"/>
        <v>5.166666666666667</v>
      </c>
      <c r="AC23" s="1404">
        <f t="shared" si="32"/>
        <v>5.166666666666667</v>
      </c>
      <c r="AD23" s="1404">
        <f t="shared" si="32"/>
        <v>5.166666666666667</v>
      </c>
      <c r="AE23" s="1404">
        <f t="shared" si="32"/>
        <v>5.166666666666667</v>
      </c>
      <c r="AF23" s="1404">
        <f t="shared" si="32"/>
        <v>5.166666666666667</v>
      </c>
      <c r="AG23" s="1404">
        <f t="shared" si="32"/>
        <v>5.166666666666667</v>
      </c>
      <c r="AH23" s="1404">
        <f t="shared" si="32"/>
        <v>5.166666666666667</v>
      </c>
      <c r="AI23" s="1404">
        <f t="shared" si="32"/>
        <v>5.166666666666667</v>
      </c>
      <c r="AJ23" s="1404">
        <f t="shared" si="32"/>
        <v>5.166666666666667</v>
      </c>
      <c r="AK23" s="1404">
        <f t="shared" si="32"/>
        <v>5.166666666666667</v>
      </c>
      <c r="AL23" s="1404">
        <f t="shared" si="32"/>
        <v>5.166666666666667</v>
      </c>
      <c r="AM23" s="1404">
        <f t="shared" si="32"/>
        <v>5.166666666666667</v>
      </c>
      <c r="AN23" s="1404">
        <f t="shared" si="32"/>
        <v>5.166666666666667</v>
      </c>
      <c r="AO23" s="1404">
        <f t="shared" si="32"/>
        <v>5.166666666666667</v>
      </c>
      <c r="AP23" s="1404">
        <f t="shared" si="32"/>
        <v>5.166666666666667</v>
      </c>
      <c r="AQ23" s="1404">
        <f t="shared" si="32"/>
        <v>5.166666666666667</v>
      </c>
      <c r="AR23" s="445">
        <f t="shared" si="32"/>
        <v>131.82102656424667</v>
      </c>
      <c r="AS23" s="445">
        <f t="shared" si="32"/>
        <v>131.82102656424667</v>
      </c>
      <c r="AT23" s="445">
        <f t="shared" si="32"/>
        <v>131.8210265642467</v>
      </c>
      <c r="AU23" s="445">
        <f t="shared" si="32"/>
        <v>131.82102656424667</v>
      </c>
      <c r="AV23" s="445">
        <f t="shared" si="32"/>
        <v>131.82102656424667</v>
      </c>
      <c r="AW23" s="445">
        <f t="shared" si="32"/>
        <v>131.8210265642467</v>
      </c>
      <c r="AX23" s="445">
        <f t="shared" si="32"/>
        <v>131.8210265642467</v>
      </c>
      <c r="AY23" s="445">
        <f t="shared" si="32"/>
        <v>131.8210265642467</v>
      </c>
      <c r="AZ23" s="445">
        <f t="shared" si="32"/>
        <v>131.82102656424667</v>
      </c>
      <c r="BA23" s="445">
        <f t="shared" si="32"/>
        <v>131.82102656424667</v>
      </c>
      <c r="BB23" s="445">
        <f t="shared" si="32"/>
        <v>131.82102656424667</v>
      </c>
      <c r="BC23" s="445">
        <f t="shared" si="32"/>
        <v>131.82102656424667</v>
      </c>
      <c r="BD23" s="445">
        <f t="shared" si="32"/>
        <v>131.82102656424667</v>
      </c>
      <c r="BE23" s="445">
        <f t="shared" si="32"/>
        <v>131.82102656424667</v>
      </c>
      <c r="BF23" s="445">
        <f t="shared" si="32"/>
        <v>131.82102656424667</v>
      </c>
      <c r="BG23" s="445">
        <f t="shared" si="32"/>
        <v>131.82102656424667</v>
      </c>
      <c r="BH23" s="445">
        <f t="shared" si="32"/>
        <v>131.82102656424667</v>
      </c>
      <c r="BI23" s="445">
        <f t="shared" si="32"/>
        <v>131.8210265642467</v>
      </c>
      <c r="BJ23" s="445">
        <f t="shared" si="32"/>
        <v>131.8210265642467</v>
      </c>
      <c r="BK23" s="445">
        <f t="shared" si="32"/>
        <v>131.82102656424667</v>
      </c>
      <c r="BL23" s="445">
        <f t="shared" si="32"/>
        <v>131.82102656424667</v>
      </c>
      <c r="BM23" s="445">
        <f t="shared" si="32"/>
        <v>131.8210265642467</v>
      </c>
      <c r="BN23" s="445">
        <f t="shared" si="32"/>
        <v>131.82102656424667</v>
      </c>
      <c r="BO23" s="445">
        <f t="shared" si="32"/>
        <v>131.8210265642467</v>
      </c>
      <c r="BP23" s="445">
        <f t="shared" si="32"/>
        <v>131.8210265642467</v>
      </c>
      <c r="BQ23" s="445">
        <f t="shared" si="32"/>
        <v>131.82102656424667</v>
      </c>
      <c r="BR23" s="445">
        <f t="shared" si="32"/>
        <v>131.82102656424667</v>
      </c>
      <c r="BS23" s="445">
        <f t="shared" si="32"/>
        <v>131.8210265642467</v>
      </c>
      <c r="BT23" s="445">
        <f t="shared" si="32"/>
        <v>131.82102656424667</v>
      </c>
      <c r="BU23" s="445">
        <f t="shared" si="32"/>
        <v>131.82102656424667</v>
      </c>
      <c r="BV23" s="445">
        <f t="shared" si="32"/>
        <v>131.8210265642467</v>
      </c>
      <c r="BW23" s="445">
        <f t="shared" si="32"/>
        <v>131.82102656424667</v>
      </c>
      <c r="BX23" s="445">
        <f t="shared" si="32"/>
        <v>131.82102656424667</v>
      </c>
      <c r="BY23" s="445">
        <f t="shared" si="32"/>
        <v>131.82102656424667</v>
      </c>
      <c r="BZ23" s="445">
        <f t="shared" si="32"/>
        <v>131.8210265642467</v>
      </c>
      <c r="CA23" s="445">
        <f t="shared" si="32"/>
        <v>131.82102656424667</v>
      </c>
      <c r="CB23" s="445">
        <f t="shared" si="32"/>
        <v>131.82102656424667</v>
      </c>
      <c r="CC23" s="445">
        <f t="shared" si="32"/>
        <v>131.8210265642467</v>
      </c>
      <c r="CD23" s="445">
        <f t="shared" si="32"/>
        <v>131.82102656424667</v>
      </c>
      <c r="CE23" s="445">
        <f t="shared" si="32"/>
        <v>131.8210265642467</v>
      </c>
      <c r="CF23" s="445">
        <f t="shared" si="32"/>
        <v>131.8210265642467</v>
      </c>
      <c r="CG23" s="445">
        <f aca="true" t="shared" si="33" ref="CG23:CH23">CG24+CG25</f>
        <v>131.82102656424667</v>
      </c>
      <c r="CH23" s="445">
        <f t="shared" si="33"/>
        <v>131.82102656424667</v>
      </c>
      <c r="CI23" s="445">
        <f aca="true" t="shared" si="34" ref="CI23">CI24+CI25</f>
        <v>131.82102656424667</v>
      </c>
      <c r="CJ23" s="445">
        <f aca="true" t="shared" si="35" ref="CJ23">CJ24+CJ25</f>
        <v>131.8210265642467</v>
      </c>
      <c r="CK23" s="445">
        <f aca="true" t="shared" si="36" ref="CK23">CK24+CK25</f>
        <v>131.82102656424667</v>
      </c>
      <c r="CL23" s="445">
        <f aca="true" t="shared" si="37" ref="CL23">CL24+CL25</f>
        <v>131.82102656424667</v>
      </c>
      <c r="CM23" s="445">
        <f aca="true" t="shared" si="38" ref="CM23">CM24+CM25</f>
        <v>131.82102656424667</v>
      </c>
      <c r="CN23" s="445">
        <f aca="true" t="shared" si="39" ref="CN23">CN24+CN25</f>
        <v>0</v>
      </c>
      <c r="CO23" s="445">
        <f aca="true" t="shared" si="40" ref="CO23">CO24+CO25</f>
        <v>0</v>
      </c>
      <c r="CP23" s="445">
        <f aca="true" t="shared" si="41" ref="CP23">CP24+CP25</f>
        <v>0</v>
      </c>
      <c r="CQ23" s="445">
        <f aca="true" t="shared" si="42" ref="CQ23">CQ24+CQ25</f>
        <v>0</v>
      </c>
      <c r="CR23" s="445">
        <f aca="true" t="shared" si="43" ref="CR23">CR24+CR25</f>
        <v>0</v>
      </c>
      <c r="CS23" s="445">
        <f aca="true" t="shared" si="44" ref="CS23">CS24+CS25</f>
        <v>0</v>
      </c>
      <c r="CT23" s="445">
        <f aca="true" t="shared" si="45" ref="CT23">CT24+CT25</f>
        <v>0</v>
      </c>
      <c r="CU23" s="445">
        <f aca="true" t="shared" si="46" ref="CU23">CU24+CU25</f>
        <v>0</v>
      </c>
      <c r="CV23" s="445">
        <f aca="true" t="shared" si="47" ref="CV23">CV24+CV25</f>
        <v>0</v>
      </c>
      <c r="CW23" s="445"/>
      <c r="CX23" s="445"/>
      <c r="CY23" s="445"/>
      <c r="CZ23" s="445"/>
      <c r="DA23" s="445"/>
      <c r="DB23" s="445"/>
      <c r="DC23" s="445"/>
      <c r="DD23" s="445"/>
      <c r="DE23" s="445"/>
      <c r="DF23" s="445"/>
      <c r="DG23" s="445"/>
      <c r="DH23" s="445"/>
      <c r="DI23" s="445"/>
      <c r="DJ23" s="445"/>
      <c r="DK23" s="445"/>
      <c r="DL23" s="445"/>
      <c r="DM23" s="445"/>
      <c r="DN23" s="445"/>
      <c r="DO23" s="445"/>
      <c r="DP23" s="445"/>
      <c r="DQ23" s="445"/>
      <c r="DR23" s="445"/>
      <c r="DS23" s="445"/>
      <c r="DT23" s="445"/>
      <c r="DU23" s="445"/>
      <c r="DV23" s="445"/>
      <c r="DW23" s="445"/>
      <c r="DX23" s="445"/>
      <c r="DY23" s="445"/>
      <c r="DZ23" s="445"/>
      <c r="EA23" s="445"/>
      <c r="EB23" s="445"/>
      <c r="EC23" s="445"/>
      <c r="ED23" s="445"/>
      <c r="EE23" s="445"/>
      <c r="EF23" s="445"/>
      <c r="EG23" s="445"/>
      <c r="EH23" s="445"/>
      <c r="EI23" s="445"/>
      <c r="EJ23" s="445"/>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2"/>
    </row>
    <row r="24" spans="2:183" ht="34.95" customHeight="1" thickBot="1">
      <c r="B24" s="140" t="s">
        <v>148</v>
      </c>
      <c r="C24" s="141"/>
      <c r="D24" s="141"/>
      <c r="E24" s="141"/>
      <c r="F24" s="141"/>
      <c r="G24" s="141"/>
      <c r="H24" s="141"/>
      <c r="I24" s="141"/>
      <c r="J24" s="141"/>
      <c r="K24" s="141"/>
      <c r="L24" s="141"/>
      <c r="M24" s="141"/>
      <c r="N24" s="141"/>
      <c r="O24" s="141"/>
      <c r="P24" s="141"/>
      <c r="Q24" s="141"/>
      <c r="R24" s="141"/>
      <c r="S24" s="141"/>
      <c r="T24" s="141">
        <v>0</v>
      </c>
      <c r="U24" s="141">
        <v>0</v>
      </c>
      <c r="V24" s="141">
        <v>0</v>
      </c>
      <c r="W24" s="141">
        <v>0</v>
      </c>
      <c r="X24" s="141">
        <v>0</v>
      </c>
      <c r="Y24" s="141">
        <v>0</v>
      </c>
      <c r="Z24" s="141">
        <v>0</v>
      </c>
      <c r="AA24" s="141">
        <v>0</v>
      </c>
      <c r="AB24" s="141">
        <v>0</v>
      </c>
      <c r="AC24" s="141">
        <v>0</v>
      </c>
      <c r="AD24" s="141">
        <v>0</v>
      </c>
      <c r="AE24" s="141">
        <v>0</v>
      </c>
      <c r="AF24" s="141">
        <v>0</v>
      </c>
      <c r="AG24" s="141">
        <v>0</v>
      </c>
      <c r="AH24" s="141">
        <v>0</v>
      </c>
      <c r="AI24" s="141">
        <v>0</v>
      </c>
      <c r="AJ24" s="141">
        <v>0</v>
      </c>
      <c r="AK24" s="141">
        <v>0</v>
      </c>
      <c r="AL24" s="141">
        <v>0</v>
      </c>
      <c r="AM24" s="141">
        <v>0</v>
      </c>
      <c r="AN24" s="141">
        <v>0</v>
      </c>
      <c r="AO24" s="141">
        <v>0</v>
      </c>
      <c r="AP24" s="141">
        <v>0</v>
      </c>
      <c r="AQ24" s="141">
        <v>0</v>
      </c>
      <c r="AR24" s="141">
        <f aca="true" t="shared" si="48" ref="AR24:CA24">+IF(AR21&gt;$C$12,0,PPMT($C$15/$C$11,AR21,$C$12,-$C$8))</f>
        <v>126.65435989758001</v>
      </c>
      <c r="AS24" s="141">
        <f t="shared" si="48"/>
        <v>126.75990519749465</v>
      </c>
      <c r="AT24" s="141">
        <f>+IF(AT21&gt;$C$12,0,PPMT($C$15/$C$11,AT21,$C$12,-$C$8))</f>
        <v>126.86553845182591</v>
      </c>
      <c r="AU24" s="141">
        <f t="shared" si="48"/>
        <v>126.97125973386909</v>
      </c>
      <c r="AV24" s="141">
        <f t="shared" si="48"/>
        <v>127.07706911698065</v>
      </c>
      <c r="AW24" s="141">
        <f t="shared" si="48"/>
        <v>127.18296667457814</v>
      </c>
      <c r="AX24" s="141">
        <f t="shared" si="48"/>
        <v>127.2889524801403</v>
      </c>
      <c r="AY24" s="141">
        <f t="shared" si="48"/>
        <v>127.39502660720707</v>
      </c>
      <c r="AZ24" s="141">
        <f t="shared" si="48"/>
        <v>127.50118912937974</v>
      </c>
      <c r="BA24" s="141">
        <f t="shared" si="48"/>
        <v>127.60744012032089</v>
      </c>
      <c r="BB24" s="141">
        <f t="shared" si="48"/>
        <v>127.71377965375447</v>
      </c>
      <c r="BC24" s="141">
        <f t="shared" si="48"/>
        <v>127.82020780346595</v>
      </c>
      <c r="BD24" s="141">
        <f t="shared" si="48"/>
        <v>127.92672464330215</v>
      </c>
      <c r="BE24" s="141">
        <f t="shared" si="48"/>
        <v>128.0333302471716</v>
      </c>
      <c r="BF24" s="141">
        <f t="shared" si="48"/>
        <v>128.14002468904422</v>
      </c>
      <c r="BG24" s="141">
        <f t="shared" si="48"/>
        <v>128.24680804295176</v>
      </c>
      <c r="BH24" s="141">
        <f t="shared" si="48"/>
        <v>128.35368038298756</v>
      </c>
      <c r="BI24" s="141">
        <f t="shared" si="48"/>
        <v>128.46064178330673</v>
      </c>
      <c r="BJ24" s="141">
        <f t="shared" si="48"/>
        <v>128.56769231812615</v>
      </c>
      <c r="BK24" s="141">
        <f t="shared" si="48"/>
        <v>128.67483206172457</v>
      </c>
      <c r="BL24" s="141">
        <f t="shared" si="48"/>
        <v>128.78206108844267</v>
      </c>
      <c r="BM24" s="141">
        <f t="shared" si="48"/>
        <v>128.88937947268306</v>
      </c>
      <c r="BN24" s="141">
        <f t="shared" si="48"/>
        <v>128.99678728891027</v>
      </c>
      <c r="BO24" s="141">
        <f t="shared" si="48"/>
        <v>129.10428461165105</v>
      </c>
      <c r="BP24" s="141">
        <f t="shared" si="48"/>
        <v>129.2118715154941</v>
      </c>
      <c r="BQ24" s="141">
        <f t="shared" si="48"/>
        <v>129.31954807509032</v>
      </c>
      <c r="BR24" s="141">
        <f t="shared" si="48"/>
        <v>129.4273143651529</v>
      </c>
      <c r="BS24" s="141">
        <f t="shared" si="48"/>
        <v>129.5351704604572</v>
      </c>
      <c r="BT24" s="141">
        <f t="shared" si="48"/>
        <v>129.6431164358409</v>
      </c>
      <c r="BU24" s="141">
        <f t="shared" si="48"/>
        <v>129.7511523662041</v>
      </c>
      <c r="BV24" s="141">
        <f t="shared" si="48"/>
        <v>129.8592783265093</v>
      </c>
      <c r="BW24" s="141">
        <f t="shared" si="48"/>
        <v>129.96749439178137</v>
      </c>
      <c r="BX24" s="141">
        <f t="shared" si="48"/>
        <v>130.07580063710785</v>
      </c>
      <c r="BY24" s="141">
        <f t="shared" si="48"/>
        <v>130.1841971376388</v>
      </c>
      <c r="BZ24" s="141">
        <f t="shared" si="48"/>
        <v>130.29268396858683</v>
      </c>
      <c r="CA24" s="141">
        <f t="shared" si="48"/>
        <v>130.4012612052273</v>
      </c>
      <c r="CB24" s="141">
        <f aca="true" t="shared" si="49" ref="CB24:CH24">+IF(CB21&gt;$C$12,0,PPMT($C$15/$C$11,CB21,$C$12,-$C$8))</f>
        <v>130.50992892289833</v>
      </c>
      <c r="CC24" s="141">
        <f t="shared" si="49"/>
        <v>130.61868719700075</v>
      </c>
      <c r="CD24" s="141">
        <f t="shared" si="49"/>
        <v>130.72753610299824</v>
      </c>
      <c r="CE24" s="141">
        <f t="shared" si="49"/>
        <v>130.83647571641743</v>
      </c>
      <c r="CF24" s="141">
        <f t="shared" si="49"/>
        <v>130.94550611284777</v>
      </c>
      <c r="CG24" s="141">
        <f t="shared" si="49"/>
        <v>131.0546273679418</v>
      </c>
      <c r="CH24" s="141">
        <f t="shared" si="49"/>
        <v>131.1638395574151</v>
      </c>
      <c r="CI24" s="141">
        <f aca="true" t="shared" si="50" ref="CI24:CV24">+IF(CI21&gt;$C$12,0,PPMT($C$15/$C$11,CI21,$C$12,-$C$8))</f>
        <v>131.27314275704626</v>
      </c>
      <c r="CJ24" s="141">
        <f t="shared" si="50"/>
        <v>131.38253704267714</v>
      </c>
      <c r="CK24" s="141">
        <f t="shared" si="50"/>
        <v>131.4920224902127</v>
      </c>
      <c r="CL24" s="141">
        <f t="shared" si="50"/>
        <v>131.6015991756212</v>
      </c>
      <c r="CM24" s="141">
        <f t="shared" si="50"/>
        <v>131.71126717493422</v>
      </c>
      <c r="CN24" s="141">
        <f t="shared" si="50"/>
        <v>0</v>
      </c>
      <c r="CO24" s="141">
        <f t="shared" si="50"/>
        <v>0</v>
      </c>
      <c r="CP24" s="141">
        <f t="shared" si="50"/>
        <v>0</v>
      </c>
      <c r="CQ24" s="141">
        <f t="shared" si="50"/>
        <v>0</v>
      </c>
      <c r="CR24" s="141">
        <f t="shared" si="50"/>
        <v>0</v>
      </c>
      <c r="CS24" s="141">
        <f t="shared" si="50"/>
        <v>0</v>
      </c>
      <c r="CT24" s="141">
        <f t="shared" si="50"/>
        <v>0</v>
      </c>
      <c r="CU24" s="141">
        <f t="shared" si="50"/>
        <v>0</v>
      </c>
      <c r="CV24" s="141">
        <f t="shared" si="50"/>
        <v>0</v>
      </c>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1"/>
      <c r="DV24" s="141"/>
      <c r="DW24" s="141"/>
      <c r="DX24" s="141"/>
      <c r="DY24" s="141"/>
      <c r="DZ24" s="141"/>
      <c r="EA24" s="141"/>
      <c r="EB24" s="141"/>
      <c r="EC24" s="141"/>
      <c r="ED24" s="141"/>
      <c r="EE24" s="141"/>
      <c r="EF24" s="141"/>
      <c r="EG24" s="141"/>
      <c r="EH24" s="141"/>
      <c r="EI24" s="141"/>
      <c r="EJ24" s="141"/>
      <c r="EK24" s="141"/>
      <c r="EL24" s="141"/>
      <c r="EM24" s="141"/>
      <c r="EN24" s="141"/>
      <c r="EO24" s="141"/>
      <c r="EP24" s="141"/>
      <c r="EQ24" s="141"/>
      <c r="ER24" s="141"/>
      <c r="ES24" s="141"/>
      <c r="ET24" s="141"/>
      <c r="EU24" s="141"/>
      <c r="EV24" s="141"/>
      <c r="EW24" s="141"/>
      <c r="EX24" s="141"/>
      <c r="EY24" s="141"/>
      <c r="EZ24" s="141"/>
      <c r="FA24" s="141"/>
      <c r="FB24" s="141"/>
      <c r="FC24" s="141"/>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2"/>
    </row>
    <row r="25" spans="2:183" ht="34.95" customHeight="1" thickBot="1">
      <c r="B25" s="140" t="s">
        <v>149</v>
      </c>
      <c r="C25" s="141"/>
      <c r="D25" s="141"/>
      <c r="E25" s="141"/>
      <c r="F25" s="141"/>
      <c r="G25" s="141"/>
      <c r="H25" s="141"/>
      <c r="I25" s="141"/>
      <c r="J25" s="141"/>
      <c r="K25" s="141"/>
      <c r="L25" s="141"/>
      <c r="M25" s="141"/>
      <c r="N25" s="141"/>
      <c r="O25" s="1403"/>
      <c r="P25" s="1403"/>
      <c r="Q25" s="1403"/>
      <c r="R25" s="1403"/>
      <c r="S25" s="1403"/>
      <c r="T25" s="1402">
        <f aca="true" t="shared" si="51" ref="T25:CA25">+IF(T21&gt;$C$12,0,IPMT($C$15/$C$11,T21,$C$12,-$C$8))</f>
        <v>5.166666666666667</v>
      </c>
      <c r="U25" s="1402">
        <f>T25</f>
        <v>5.166666666666667</v>
      </c>
      <c r="V25" s="1402">
        <f aca="true" t="shared" si="52" ref="V25:AQ25">U25</f>
        <v>5.166666666666667</v>
      </c>
      <c r="W25" s="1402">
        <f t="shared" si="52"/>
        <v>5.166666666666667</v>
      </c>
      <c r="X25" s="1402">
        <f t="shared" si="52"/>
        <v>5.166666666666667</v>
      </c>
      <c r="Y25" s="1402">
        <f t="shared" si="52"/>
        <v>5.166666666666667</v>
      </c>
      <c r="Z25" s="1402">
        <f t="shared" si="52"/>
        <v>5.166666666666667</v>
      </c>
      <c r="AA25" s="1402">
        <f t="shared" si="52"/>
        <v>5.166666666666667</v>
      </c>
      <c r="AB25" s="1402">
        <f t="shared" si="52"/>
        <v>5.166666666666667</v>
      </c>
      <c r="AC25" s="1402">
        <f t="shared" si="52"/>
        <v>5.166666666666667</v>
      </c>
      <c r="AD25" s="1402">
        <f t="shared" si="52"/>
        <v>5.166666666666667</v>
      </c>
      <c r="AE25" s="1402">
        <f t="shared" si="52"/>
        <v>5.166666666666667</v>
      </c>
      <c r="AF25" s="1402">
        <f t="shared" si="52"/>
        <v>5.166666666666667</v>
      </c>
      <c r="AG25" s="1402">
        <f t="shared" si="52"/>
        <v>5.166666666666667</v>
      </c>
      <c r="AH25" s="1402">
        <f t="shared" si="52"/>
        <v>5.166666666666667</v>
      </c>
      <c r="AI25" s="1402">
        <f t="shared" si="52"/>
        <v>5.166666666666667</v>
      </c>
      <c r="AJ25" s="1402">
        <f t="shared" si="52"/>
        <v>5.166666666666667</v>
      </c>
      <c r="AK25" s="1402">
        <f t="shared" si="52"/>
        <v>5.166666666666667</v>
      </c>
      <c r="AL25" s="1402">
        <f t="shared" si="52"/>
        <v>5.166666666666667</v>
      </c>
      <c r="AM25" s="1402">
        <f t="shared" si="52"/>
        <v>5.166666666666667</v>
      </c>
      <c r="AN25" s="1402">
        <f t="shared" si="52"/>
        <v>5.166666666666667</v>
      </c>
      <c r="AO25" s="1402">
        <f t="shared" si="52"/>
        <v>5.166666666666667</v>
      </c>
      <c r="AP25" s="1402">
        <f t="shared" si="52"/>
        <v>5.166666666666667</v>
      </c>
      <c r="AQ25" s="1402">
        <f t="shared" si="52"/>
        <v>5.166666666666667</v>
      </c>
      <c r="AR25" s="1402">
        <f t="shared" si="51"/>
        <v>5.166666666666667</v>
      </c>
      <c r="AS25" s="1402">
        <f t="shared" si="51"/>
        <v>5.061121366752016</v>
      </c>
      <c r="AT25" s="1402">
        <f t="shared" si="51"/>
        <v>4.955488112420771</v>
      </c>
      <c r="AU25" s="1402">
        <f t="shared" si="51"/>
        <v>4.8497668303775825</v>
      </c>
      <c r="AV25" s="1402">
        <f t="shared" si="51"/>
        <v>4.743957447266025</v>
      </c>
      <c r="AW25" s="1402">
        <f t="shared" si="51"/>
        <v>4.6380598896685425</v>
      </c>
      <c r="AX25" s="1402">
        <f t="shared" si="51"/>
        <v>4.532074084106394</v>
      </c>
      <c r="AY25" s="1402">
        <f t="shared" si="51"/>
        <v>4.425999957039609</v>
      </c>
      <c r="AZ25" s="1402">
        <f t="shared" si="51"/>
        <v>4.319837434866937</v>
      </c>
      <c r="BA25" s="1402">
        <f t="shared" si="51"/>
        <v>4.213586443925787</v>
      </c>
      <c r="BB25" s="1402">
        <f t="shared" si="51"/>
        <v>4.107246910492186</v>
      </c>
      <c r="BC25" s="1402">
        <f t="shared" si="51"/>
        <v>4.000818760780724</v>
      </c>
      <c r="BD25" s="1402">
        <f t="shared" si="51"/>
        <v>3.8943019209445033</v>
      </c>
      <c r="BE25" s="1402">
        <f t="shared" si="51"/>
        <v>3.787696317075085</v>
      </c>
      <c r="BF25" s="1402">
        <f t="shared" si="51"/>
        <v>3.681001875202442</v>
      </c>
      <c r="BG25" s="1402">
        <f t="shared" si="51"/>
        <v>3.5742185212949056</v>
      </c>
      <c r="BH25" s="1402">
        <f t="shared" si="51"/>
        <v>3.4673461812591118</v>
      </c>
      <c r="BI25" s="1402">
        <f t="shared" si="51"/>
        <v>3.360384780939955</v>
      </c>
      <c r="BJ25" s="1402">
        <f t="shared" si="51"/>
        <v>3.253334246120533</v>
      </c>
      <c r="BK25" s="1402">
        <f t="shared" si="51"/>
        <v>3.1461945025220945</v>
      </c>
      <c r="BL25" s="1402">
        <f t="shared" si="51"/>
        <v>3.03896547580399</v>
      </c>
      <c r="BM25" s="1402">
        <f t="shared" si="51"/>
        <v>2.931647091563622</v>
      </c>
      <c r="BN25" s="1402">
        <f t="shared" si="51"/>
        <v>2.824239275336386</v>
      </c>
      <c r="BO25" s="1402">
        <f t="shared" si="51"/>
        <v>2.7167419525956276</v>
      </c>
      <c r="BP25" s="1402">
        <f t="shared" si="51"/>
        <v>2.609155048752585</v>
      </c>
      <c r="BQ25" s="1402">
        <f t="shared" si="51"/>
        <v>2.50147848915634</v>
      </c>
      <c r="BR25" s="1402">
        <f t="shared" si="51"/>
        <v>2.3937121990937644</v>
      </c>
      <c r="BS25" s="1402">
        <f t="shared" si="51"/>
        <v>2.2858561037894707</v>
      </c>
      <c r="BT25" s="1402">
        <f t="shared" si="51"/>
        <v>2.177910128405756</v>
      </c>
      <c r="BU25" s="1402">
        <f t="shared" si="51"/>
        <v>2.0698741980425552</v>
      </c>
      <c r="BV25" s="1402">
        <f t="shared" si="51"/>
        <v>1.9617482377373856</v>
      </c>
      <c r="BW25" s="1402">
        <f t="shared" si="51"/>
        <v>1.8535321724652944</v>
      </c>
      <c r="BX25" s="1402">
        <f t="shared" si="51"/>
        <v>1.7452259271388098</v>
      </c>
      <c r="BY25" s="1402">
        <f t="shared" si="51"/>
        <v>1.6368294266078867</v>
      </c>
      <c r="BZ25" s="1402">
        <f t="shared" si="51"/>
        <v>1.5283425956598542</v>
      </c>
      <c r="CA25" s="1402">
        <f t="shared" si="51"/>
        <v>1.419765359019365</v>
      </c>
      <c r="CB25" s="1402">
        <f aca="true" t="shared" si="53" ref="CB25:CH25">+IF(CB21&gt;$C$12,0,IPMT($C$15/$C$11,CB21,$C$12,-$C$8))</f>
        <v>1.3110976413483424</v>
      </c>
      <c r="CC25" s="1402">
        <f t="shared" si="53"/>
        <v>1.202339367245927</v>
      </c>
      <c r="CD25" s="1402">
        <f t="shared" si="53"/>
        <v>1.0934904612484264</v>
      </c>
      <c r="CE25" s="1402">
        <f t="shared" si="53"/>
        <v>0.9845508478292613</v>
      </c>
      <c r="CF25" s="1402">
        <f t="shared" si="53"/>
        <v>0.8755204513989134</v>
      </c>
      <c r="CG25" s="1402">
        <f t="shared" si="53"/>
        <v>0.7663991963048736</v>
      </c>
      <c r="CH25" s="1402">
        <f t="shared" si="53"/>
        <v>0.6571870068315888</v>
      </c>
      <c r="CI25" s="141">
        <f aca="true" t="shared" si="54" ref="CI25:CV25">+IF(CI21&gt;$C$12,0,IPMT($C$15/$C$11,CI21,$C$12,-$C$8))</f>
        <v>0.5478838072004096</v>
      </c>
      <c r="CJ25" s="141">
        <f t="shared" si="54"/>
        <v>0.43848952156953774</v>
      </c>
      <c r="CK25" s="141">
        <f t="shared" si="54"/>
        <v>0.32900407403397347</v>
      </c>
      <c r="CL25" s="141">
        <f t="shared" si="54"/>
        <v>0.21942738862546285</v>
      </c>
      <c r="CM25" s="141">
        <f t="shared" si="54"/>
        <v>0.10975938931244517</v>
      </c>
      <c r="CN25" s="141">
        <f t="shared" si="54"/>
        <v>0</v>
      </c>
      <c r="CO25" s="141">
        <f t="shared" si="54"/>
        <v>0</v>
      </c>
      <c r="CP25" s="141">
        <f t="shared" si="54"/>
        <v>0</v>
      </c>
      <c r="CQ25" s="141">
        <f t="shared" si="54"/>
        <v>0</v>
      </c>
      <c r="CR25" s="141">
        <f t="shared" si="54"/>
        <v>0</v>
      </c>
      <c r="CS25" s="141">
        <f t="shared" si="54"/>
        <v>0</v>
      </c>
      <c r="CT25" s="141">
        <f t="shared" si="54"/>
        <v>0</v>
      </c>
      <c r="CU25" s="141">
        <f t="shared" si="54"/>
        <v>0</v>
      </c>
      <c r="CV25" s="141">
        <f t="shared" si="54"/>
        <v>0</v>
      </c>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1"/>
      <c r="DV25" s="141"/>
      <c r="DW25" s="141"/>
      <c r="DX25" s="141"/>
      <c r="DY25" s="141"/>
      <c r="DZ25" s="141"/>
      <c r="EA25" s="141"/>
      <c r="EB25" s="141"/>
      <c r="EC25" s="141"/>
      <c r="ED25" s="141"/>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3"/>
    </row>
    <row r="26" spans="2:183" ht="34.95" customHeight="1" thickBot="1">
      <c r="B26" s="144" t="s">
        <v>152</v>
      </c>
      <c r="C26" s="445"/>
      <c r="D26" s="445"/>
      <c r="E26" s="445"/>
      <c r="F26" s="445"/>
      <c r="G26" s="445"/>
      <c r="H26" s="445"/>
      <c r="I26" s="445"/>
      <c r="J26" s="445"/>
      <c r="K26" s="445"/>
      <c r="L26" s="445"/>
      <c r="M26" s="445"/>
      <c r="N26" s="445"/>
      <c r="O26" s="445"/>
      <c r="P26" s="445"/>
      <c r="Q26" s="445"/>
      <c r="R26" s="445"/>
      <c r="S26" s="445">
        <f>+C8</f>
        <v>6200</v>
      </c>
      <c r="T26" s="445">
        <f aca="true" t="shared" si="55" ref="T26:BU26">+IF(T21&gt;$C$12,0,S26-T24)</f>
        <v>6200</v>
      </c>
      <c r="U26" s="445">
        <f t="shared" si="55"/>
        <v>6200</v>
      </c>
      <c r="V26" s="445">
        <f t="shared" si="55"/>
        <v>6200</v>
      </c>
      <c r="W26" s="445">
        <f t="shared" si="55"/>
        <v>6200</v>
      </c>
      <c r="X26" s="445">
        <f t="shared" si="55"/>
        <v>6200</v>
      </c>
      <c r="Y26" s="445">
        <f t="shared" si="55"/>
        <v>6200</v>
      </c>
      <c r="Z26" s="445">
        <f t="shared" si="55"/>
        <v>6200</v>
      </c>
      <c r="AA26" s="445">
        <f t="shared" si="55"/>
        <v>6200</v>
      </c>
      <c r="AB26" s="445">
        <f t="shared" si="55"/>
        <v>6200</v>
      </c>
      <c r="AC26" s="445">
        <f t="shared" si="55"/>
        <v>6200</v>
      </c>
      <c r="AD26" s="445">
        <f t="shared" si="55"/>
        <v>6200</v>
      </c>
      <c r="AE26" s="445">
        <f t="shared" si="55"/>
        <v>6200</v>
      </c>
      <c r="AF26" s="445">
        <f t="shared" si="55"/>
        <v>6200</v>
      </c>
      <c r="AG26" s="445">
        <f t="shared" si="55"/>
        <v>6200</v>
      </c>
      <c r="AH26" s="445">
        <f t="shared" si="55"/>
        <v>6200</v>
      </c>
      <c r="AI26" s="445">
        <f t="shared" si="55"/>
        <v>6200</v>
      </c>
      <c r="AJ26" s="445">
        <f t="shared" si="55"/>
        <v>6200</v>
      </c>
      <c r="AK26" s="445">
        <f t="shared" si="55"/>
        <v>6200</v>
      </c>
      <c r="AL26" s="445">
        <f t="shared" si="55"/>
        <v>6200</v>
      </c>
      <c r="AM26" s="445">
        <f t="shared" si="55"/>
        <v>6200</v>
      </c>
      <c r="AN26" s="445">
        <f t="shared" si="55"/>
        <v>6200</v>
      </c>
      <c r="AO26" s="445">
        <f t="shared" si="55"/>
        <v>6200</v>
      </c>
      <c r="AP26" s="445">
        <f t="shared" si="55"/>
        <v>6200</v>
      </c>
      <c r="AQ26" s="445">
        <f t="shared" si="55"/>
        <v>6200</v>
      </c>
      <c r="AR26" s="445">
        <f t="shared" si="55"/>
        <v>6073.34564010242</v>
      </c>
      <c r="AS26" s="445">
        <f t="shared" si="55"/>
        <v>5946.585734904925</v>
      </c>
      <c r="AT26" s="445">
        <f t="shared" si="55"/>
        <v>5819.720196453099</v>
      </c>
      <c r="AU26" s="445">
        <f t="shared" si="55"/>
        <v>5692.748936719229</v>
      </c>
      <c r="AV26" s="445">
        <f t="shared" si="55"/>
        <v>5565.671867602248</v>
      </c>
      <c r="AW26" s="445">
        <f t="shared" si="55"/>
        <v>5438.48890092767</v>
      </c>
      <c r="AX26" s="445">
        <f t="shared" si="55"/>
        <v>5311.19994844753</v>
      </c>
      <c r="AY26" s="445">
        <f t="shared" si="55"/>
        <v>5183.804921840323</v>
      </c>
      <c r="AZ26" s="445">
        <f t="shared" si="55"/>
        <v>5056.303732710943</v>
      </c>
      <c r="BA26" s="445">
        <f t="shared" si="55"/>
        <v>4928.696292590623</v>
      </c>
      <c r="BB26" s="445">
        <f t="shared" si="55"/>
        <v>4800.982512936868</v>
      </c>
      <c r="BC26" s="445">
        <f t="shared" si="55"/>
        <v>4673.162305133403</v>
      </c>
      <c r="BD26" s="445">
        <f t="shared" si="55"/>
        <v>4545.235580490101</v>
      </c>
      <c r="BE26" s="445">
        <f t="shared" si="55"/>
        <v>4417.202250242929</v>
      </c>
      <c r="BF26" s="445">
        <f t="shared" si="55"/>
        <v>4289.062225553885</v>
      </c>
      <c r="BG26" s="445">
        <f t="shared" si="55"/>
        <v>4160.815417510933</v>
      </c>
      <c r="BH26" s="445">
        <f t="shared" si="55"/>
        <v>4032.4617371279455</v>
      </c>
      <c r="BI26" s="445">
        <f t="shared" si="55"/>
        <v>3904.001095344639</v>
      </c>
      <c r="BJ26" s="445">
        <f t="shared" si="55"/>
        <v>3775.4334030265127</v>
      </c>
      <c r="BK26" s="445">
        <f t="shared" si="55"/>
        <v>3646.7585709647883</v>
      </c>
      <c r="BL26" s="445">
        <f t="shared" si="55"/>
        <v>3517.9765098763455</v>
      </c>
      <c r="BM26" s="445">
        <f t="shared" si="55"/>
        <v>3389.0871304036623</v>
      </c>
      <c r="BN26" s="445">
        <f t="shared" si="55"/>
        <v>3260.090343114752</v>
      </c>
      <c r="BO26" s="445">
        <f t="shared" si="55"/>
        <v>3130.986058503101</v>
      </c>
      <c r="BP26" s="445">
        <f t="shared" si="55"/>
        <v>3001.7741869876068</v>
      </c>
      <c r="BQ26" s="445">
        <f t="shared" si="55"/>
        <v>2872.454638912516</v>
      </c>
      <c r="BR26" s="445">
        <f t="shared" si="55"/>
        <v>2743.027324547363</v>
      </c>
      <c r="BS26" s="445">
        <f t="shared" si="55"/>
        <v>2613.492154086906</v>
      </c>
      <c r="BT26" s="445">
        <f t="shared" si="55"/>
        <v>2483.849037651065</v>
      </c>
      <c r="BU26" s="445">
        <f t="shared" si="55"/>
        <v>2354.0978852848607</v>
      </c>
      <c r="BV26" s="445">
        <f>+IF(BV21&gt;$C$12,0,BU26-BV24)</f>
        <v>2224.2386069583513</v>
      </c>
      <c r="BW26" s="445">
        <f>+IF(BW21&gt;$C$12,0,BV26-BW24)</f>
        <v>2094.27111256657</v>
      </c>
      <c r="BX26" s="445">
        <f aca="true" t="shared" si="56" ref="BX26:CH26">+IF(BX21&gt;$C$12,0,BW26-BX24)</f>
        <v>1964.1953119294622</v>
      </c>
      <c r="BY26" s="445">
        <f t="shared" si="56"/>
        <v>1834.0111147918233</v>
      </c>
      <c r="BZ26" s="445">
        <f t="shared" si="56"/>
        <v>1703.7184308232365</v>
      </c>
      <c r="CA26" s="445">
        <f t="shared" si="56"/>
        <v>1573.3171696180093</v>
      </c>
      <c r="CB26" s="445">
        <f t="shared" si="56"/>
        <v>1442.807240695111</v>
      </c>
      <c r="CC26" s="445">
        <f t="shared" si="56"/>
        <v>1312.1885534981102</v>
      </c>
      <c r="CD26" s="445">
        <f t="shared" si="56"/>
        <v>1181.4610173951119</v>
      </c>
      <c r="CE26" s="445">
        <f t="shared" si="56"/>
        <v>1050.6245416786944</v>
      </c>
      <c r="CF26" s="445">
        <f t="shared" si="56"/>
        <v>919.6790355658467</v>
      </c>
      <c r="CG26" s="445">
        <f t="shared" si="56"/>
        <v>788.6244081979048</v>
      </c>
      <c r="CH26" s="445">
        <f t="shared" si="56"/>
        <v>657.4605686404898</v>
      </c>
      <c r="CI26" s="445">
        <f aca="true" t="shared" si="57" ref="CI26">+IF(CI21&gt;$C$12,0,CH26-CI24)</f>
        <v>526.1874258834436</v>
      </c>
      <c r="CJ26" s="445">
        <f aca="true" t="shared" si="58" ref="CJ26">+IF(CJ21&gt;$C$12,0,CI26-CJ24)</f>
        <v>394.8048888407664</v>
      </c>
      <c r="CK26" s="445">
        <f aca="true" t="shared" si="59" ref="CK26">+IF(CK21&gt;$C$12,0,CJ26-CK24)</f>
        <v>263.3128663505537</v>
      </c>
      <c r="CL26" s="445">
        <f aca="true" t="shared" si="60" ref="CL26">+IF(CL21&gt;$C$12,0,CK26-CL24)</f>
        <v>131.7112671749325</v>
      </c>
      <c r="CM26" s="445">
        <f aca="true" t="shared" si="61" ref="CM26">+IF(CM21&gt;$C$12,0,CL26-CM24)</f>
        <v>-1.7337242752546445E-12</v>
      </c>
      <c r="CN26" s="445">
        <f aca="true" t="shared" si="62" ref="CN26">+IF(CN21&gt;$C$12,0,CM26-CN24)</f>
        <v>0</v>
      </c>
      <c r="CO26" s="445">
        <f aca="true" t="shared" si="63" ref="CO26">+IF(CO21&gt;$C$12,0,CN26-CO24)</f>
        <v>0</v>
      </c>
      <c r="CP26" s="445">
        <f aca="true" t="shared" si="64" ref="CP26">+IF(CP21&gt;$C$12,0,CO26-CP24)</f>
        <v>0</v>
      </c>
      <c r="CQ26" s="445">
        <f aca="true" t="shared" si="65" ref="CQ26">+IF(CQ21&gt;$C$12,0,CP26-CQ24)</f>
        <v>0</v>
      </c>
      <c r="CR26" s="445">
        <f aca="true" t="shared" si="66" ref="CR26">+IF(CR21&gt;$C$12,0,CQ26-CR24)</f>
        <v>0</v>
      </c>
      <c r="CS26" s="445">
        <f aca="true" t="shared" si="67" ref="CS26">+IF(CS21&gt;$C$12,0,CR26-CS24)</f>
        <v>0</v>
      </c>
      <c r="CT26" s="445">
        <f aca="true" t="shared" si="68" ref="CT26">+IF(CT21&gt;$C$12,0,CS26-CT24)</f>
        <v>0</v>
      </c>
      <c r="CU26" s="445">
        <f aca="true" t="shared" si="69" ref="CU26">+IF(CU21&gt;$C$12,0,CT26-CU24)</f>
        <v>0</v>
      </c>
      <c r="CV26" s="445">
        <f aca="true" t="shared" si="70" ref="CV26">+IF(CV21&gt;$C$12,0,CU26-CV24)</f>
        <v>0</v>
      </c>
      <c r="CW26" s="445"/>
      <c r="CX26" s="445"/>
      <c r="CY26" s="445"/>
      <c r="CZ26" s="445"/>
      <c r="DA26" s="445"/>
      <c r="DB26" s="445"/>
      <c r="DC26" s="445"/>
      <c r="DD26" s="445"/>
      <c r="DE26" s="445"/>
      <c r="DF26" s="445"/>
      <c r="DG26" s="445"/>
      <c r="DH26" s="445"/>
      <c r="DI26" s="445"/>
      <c r="DJ26" s="445"/>
      <c r="DK26" s="445"/>
      <c r="DL26" s="445"/>
      <c r="DM26" s="445"/>
      <c r="DN26" s="445"/>
      <c r="DO26" s="445"/>
      <c r="DP26" s="445"/>
      <c r="DQ26" s="445"/>
      <c r="DR26" s="445"/>
      <c r="DS26" s="445"/>
      <c r="DT26" s="445"/>
      <c r="DU26" s="445"/>
      <c r="DV26" s="445"/>
      <c r="DW26" s="445"/>
      <c r="DX26" s="445"/>
      <c r="DY26" s="445"/>
      <c r="DZ26" s="445"/>
      <c r="EA26" s="445"/>
      <c r="EB26" s="445"/>
      <c r="EC26" s="445"/>
      <c r="ED26" s="445"/>
      <c r="EE26" s="445"/>
      <c r="EF26" s="445"/>
      <c r="EG26" s="445"/>
      <c r="EH26" s="445"/>
      <c r="EI26" s="445"/>
      <c r="EJ26" s="445"/>
      <c r="EK26" s="141"/>
      <c r="EL26" s="141"/>
      <c r="EM26" s="141"/>
      <c r="EN26" s="141"/>
      <c r="EO26" s="141"/>
      <c r="EP26" s="141"/>
      <c r="EQ26" s="141"/>
      <c r="ER26" s="141"/>
      <c r="ES26" s="141"/>
      <c r="ET26" s="141"/>
      <c r="EU26" s="141"/>
      <c r="EV26" s="141"/>
      <c r="EW26" s="141"/>
      <c r="EX26" s="141"/>
      <c r="EY26" s="141"/>
      <c r="EZ26" s="141"/>
      <c r="FA26" s="141"/>
      <c r="FB26" s="141"/>
      <c r="FC26" s="141"/>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3"/>
    </row>
    <row r="27" ht="15.75">
      <c r="B27" s="5"/>
    </row>
    <row r="28" ht="16.2" hidden="1" thickBot="1"/>
    <row r="29" spans="1:184" ht="15.75" hidden="1">
      <c r="A29" s="962">
        <v>1</v>
      </c>
      <c r="B29" s="1530">
        <f>1+Assumptions!C3</f>
        <v>2020</v>
      </c>
      <c r="C29" s="1532"/>
      <c r="D29" s="5"/>
      <c r="E29" s="962"/>
      <c r="FZ29" s="2"/>
      <c r="GA29" s="2"/>
      <c r="GB29" s="2"/>
    </row>
    <row r="30" spans="2:184" ht="16.2" hidden="1" thickBot="1">
      <c r="B30" s="1627"/>
      <c r="C30" s="1628"/>
      <c r="D30" s="5"/>
      <c r="FZ30" s="2"/>
      <c r="GA30" s="2"/>
      <c r="GB30" s="2"/>
    </row>
    <row r="31" spans="2:184" ht="16.2" hidden="1" thickBot="1">
      <c r="B31" s="137" t="s">
        <v>139</v>
      </c>
      <c r="C31" s="1010">
        <v>0</v>
      </c>
      <c r="D31" s="2"/>
      <c r="FZ31" s="2"/>
      <c r="GA31" s="2"/>
      <c r="GB31" s="2"/>
    </row>
    <row r="32" spans="2:184" ht="15.75" hidden="1">
      <c r="B32" s="488" t="s">
        <v>140</v>
      </c>
      <c r="C32" s="727">
        <v>10</v>
      </c>
      <c r="D32" s="2"/>
      <c r="FZ32" s="2"/>
      <c r="GA32" s="2"/>
      <c r="GB32" s="2"/>
    </row>
    <row r="33" spans="2:184" ht="15.75" hidden="1">
      <c r="B33" s="488" t="s">
        <v>141</v>
      </c>
      <c r="C33" s="728">
        <v>1000</v>
      </c>
      <c r="D33" s="2"/>
      <c r="FZ33" s="2"/>
      <c r="GA33" s="2"/>
      <c r="GB33" s="2"/>
    </row>
    <row r="34" spans="2:184" ht="15.75" hidden="1">
      <c r="B34" s="488" t="s">
        <v>151</v>
      </c>
      <c r="C34" s="727">
        <v>12</v>
      </c>
      <c r="D34" s="2"/>
      <c r="FZ34" s="2"/>
      <c r="GA34" s="2"/>
      <c r="GB34" s="2"/>
    </row>
    <row r="35" spans="2:184" ht="15.75" hidden="1">
      <c r="B35" s="488" t="s">
        <v>142</v>
      </c>
      <c r="C35" s="729">
        <f>C34*C32</f>
        <v>120</v>
      </c>
      <c r="D35" s="2"/>
      <c r="FZ35" s="2"/>
      <c r="GA35" s="2"/>
      <c r="GB35" s="2"/>
    </row>
    <row r="36" spans="2:184" ht="15.75" hidden="1">
      <c r="B36" s="488" t="s">
        <v>143</v>
      </c>
      <c r="C36" s="730">
        <v>-0.0037</v>
      </c>
      <c r="D36" s="2"/>
      <c r="FZ36" s="2"/>
      <c r="GA36" s="2"/>
      <c r="GB36" s="2"/>
    </row>
    <row r="37" spans="2:184" ht="15.75" hidden="1">
      <c r="B37" s="488" t="s">
        <v>144</v>
      </c>
      <c r="C37" s="1003">
        <v>0.035</v>
      </c>
      <c r="D37" s="2"/>
      <c r="FZ37" s="2"/>
      <c r="GA37" s="2"/>
      <c r="GB37" s="2"/>
    </row>
    <row r="38" spans="2:184" ht="15.75" hidden="1">
      <c r="B38" s="488" t="s">
        <v>145</v>
      </c>
      <c r="C38" s="1004">
        <f>C37+C36</f>
        <v>0.0313</v>
      </c>
      <c r="D38" s="2"/>
      <c r="FZ38" s="2"/>
      <c r="GA38" s="2"/>
      <c r="GB38" s="2"/>
    </row>
    <row r="39" spans="2:184" ht="15.75" hidden="1">
      <c r="B39" s="488" t="s">
        <v>150</v>
      </c>
      <c r="C39" s="1005">
        <f>C40*C34</f>
        <v>0</v>
      </c>
      <c r="D39" s="2"/>
      <c r="FZ39" s="2"/>
      <c r="GA39" s="2"/>
      <c r="GB39" s="2"/>
    </row>
    <row r="40" spans="2:184" ht="15.75" hidden="1">
      <c r="B40" s="488" t="s">
        <v>153</v>
      </c>
      <c r="C40" s="1005">
        <f>M46</f>
        <v>0</v>
      </c>
      <c r="D40" s="2"/>
      <c r="FZ40" s="2"/>
      <c r="GA40" s="2"/>
      <c r="GB40" s="2"/>
    </row>
    <row r="41" spans="2:184" ht="16.2" hidden="1" thickBot="1">
      <c r="B41" s="234" t="s">
        <v>216</v>
      </c>
      <c r="C41" s="1006">
        <f>+AVERAGE(C48:BV48)</f>
        <v>0</v>
      </c>
      <c r="D41" s="2"/>
      <c r="FZ41" s="2"/>
      <c r="GA41" s="2"/>
      <c r="GB41" s="2"/>
    </row>
    <row r="42" ht="15.75" hidden="1"/>
    <row r="43" ht="16.2" hidden="1" thickBot="1"/>
    <row r="44" spans="2:183" ht="34.95" customHeight="1" hidden="1" thickBot="1">
      <c r="B44" s="139" t="s">
        <v>146</v>
      </c>
      <c r="C44" s="963">
        <v>1</v>
      </c>
      <c r="D44" s="964">
        <f aca="true" t="shared" si="71" ref="D44:BO44">+C44+1</f>
        <v>2</v>
      </c>
      <c r="E44" s="964">
        <f t="shared" si="71"/>
        <v>3</v>
      </c>
      <c r="F44" s="964">
        <f t="shared" si="71"/>
        <v>4</v>
      </c>
      <c r="G44" s="964">
        <f t="shared" si="71"/>
        <v>5</v>
      </c>
      <c r="H44" s="964">
        <f t="shared" si="71"/>
        <v>6</v>
      </c>
      <c r="I44" s="964">
        <f t="shared" si="71"/>
        <v>7</v>
      </c>
      <c r="J44" s="964">
        <f t="shared" si="71"/>
        <v>8</v>
      </c>
      <c r="K44" s="964">
        <f t="shared" si="71"/>
        <v>9</v>
      </c>
      <c r="L44" s="964">
        <f t="shared" si="71"/>
        <v>10</v>
      </c>
      <c r="M44" s="964">
        <f t="shared" si="71"/>
        <v>11</v>
      </c>
      <c r="N44" s="964">
        <f t="shared" si="71"/>
        <v>12</v>
      </c>
      <c r="O44" s="964">
        <f t="shared" si="71"/>
        <v>13</v>
      </c>
      <c r="P44" s="964">
        <f t="shared" si="71"/>
        <v>14</v>
      </c>
      <c r="Q44" s="964">
        <f t="shared" si="71"/>
        <v>15</v>
      </c>
      <c r="R44" s="964">
        <f t="shared" si="71"/>
        <v>16</v>
      </c>
      <c r="S44" s="964">
        <f t="shared" si="71"/>
        <v>17</v>
      </c>
      <c r="T44" s="964">
        <f t="shared" si="71"/>
        <v>18</v>
      </c>
      <c r="U44" s="964">
        <f t="shared" si="71"/>
        <v>19</v>
      </c>
      <c r="V44" s="964">
        <f t="shared" si="71"/>
        <v>20</v>
      </c>
      <c r="W44" s="964">
        <f t="shared" si="71"/>
        <v>21</v>
      </c>
      <c r="X44" s="964">
        <f t="shared" si="71"/>
        <v>22</v>
      </c>
      <c r="Y44" s="964">
        <f t="shared" si="71"/>
        <v>23</v>
      </c>
      <c r="Z44" s="964">
        <f t="shared" si="71"/>
        <v>24</v>
      </c>
      <c r="AA44" s="964">
        <f t="shared" si="71"/>
        <v>25</v>
      </c>
      <c r="AB44" s="964">
        <f t="shared" si="71"/>
        <v>26</v>
      </c>
      <c r="AC44" s="964">
        <f t="shared" si="71"/>
        <v>27</v>
      </c>
      <c r="AD44" s="964">
        <f t="shared" si="71"/>
        <v>28</v>
      </c>
      <c r="AE44" s="964">
        <f t="shared" si="71"/>
        <v>29</v>
      </c>
      <c r="AF44" s="964">
        <f t="shared" si="71"/>
        <v>30</v>
      </c>
      <c r="AG44" s="964">
        <f t="shared" si="71"/>
        <v>31</v>
      </c>
      <c r="AH44" s="964">
        <f t="shared" si="71"/>
        <v>32</v>
      </c>
      <c r="AI44" s="964">
        <f t="shared" si="71"/>
        <v>33</v>
      </c>
      <c r="AJ44" s="964">
        <f t="shared" si="71"/>
        <v>34</v>
      </c>
      <c r="AK44" s="964">
        <f t="shared" si="71"/>
        <v>35</v>
      </c>
      <c r="AL44" s="964">
        <f t="shared" si="71"/>
        <v>36</v>
      </c>
      <c r="AM44" s="964">
        <f t="shared" si="71"/>
        <v>37</v>
      </c>
      <c r="AN44" s="964">
        <f t="shared" si="71"/>
        <v>38</v>
      </c>
      <c r="AO44" s="964">
        <f t="shared" si="71"/>
        <v>39</v>
      </c>
      <c r="AP44" s="964">
        <f t="shared" si="71"/>
        <v>40</v>
      </c>
      <c r="AQ44" s="964">
        <f t="shared" si="71"/>
        <v>41</v>
      </c>
      <c r="AR44" s="964">
        <f t="shared" si="71"/>
        <v>42</v>
      </c>
      <c r="AS44" s="964">
        <f t="shared" si="71"/>
        <v>43</v>
      </c>
      <c r="AT44" s="964">
        <f t="shared" si="71"/>
        <v>44</v>
      </c>
      <c r="AU44" s="964">
        <f t="shared" si="71"/>
        <v>45</v>
      </c>
      <c r="AV44" s="964">
        <f t="shared" si="71"/>
        <v>46</v>
      </c>
      <c r="AW44" s="964">
        <f t="shared" si="71"/>
        <v>47</v>
      </c>
      <c r="AX44" s="964">
        <f t="shared" si="71"/>
        <v>48</v>
      </c>
      <c r="AY44" s="964">
        <f t="shared" si="71"/>
        <v>49</v>
      </c>
      <c r="AZ44" s="964">
        <f t="shared" si="71"/>
        <v>50</v>
      </c>
      <c r="BA44" s="964">
        <f t="shared" si="71"/>
        <v>51</v>
      </c>
      <c r="BB44" s="964">
        <f t="shared" si="71"/>
        <v>52</v>
      </c>
      <c r="BC44" s="964">
        <f t="shared" si="71"/>
        <v>53</v>
      </c>
      <c r="BD44" s="964">
        <f t="shared" si="71"/>
        <v>54</v>
      </c>
      <c r="BE44" s="964">
        <f t="shared" si="71"/>
        <v>55</v>
      </c>
      <c r="BF44" s="964">
        <f t="shared" si="71"/>
        <v>56</v>
      </c>
      <c r="BG44" s="964">
        <f t="shared" si="71"/>
        <v>57</v>
      </c>
      <c r="BH44" s="964">
        <f t="shared" si="71"/>
        <v>58</v>
      </c>
      <c r="BI44" s="964">
        <f t="shared" si="71"/>
        <v>59</v>
      </c>
      <c r="BJ44" s="964">
        <f t="shared" si="71"/>
        <v>60</v>
      </c>
      <c r="BK44" s="964">
        <f t="shared" si="71"/>
        <v>61</v>
      </c>
      <c r="BL44" s="964">
        <f t="shared" si="71"/>
        <v>62</v>
      </c>
      <c r="BM44" s="964">
        <f t="shared" si="71"/>
        <v>63</v>
      </c>
      <c r="BN44" s="964">
        <f t="shared" si="71"/>
        <v>64</v>
      </c>
      <c r="BO44" s="964">
        <f t="shared" si="71"/>
        <v>65</v>
      </c>
      <c r="BP44" s="964">
        <f aca="true" t="shared" si="72" ref="BP44:CH44">+BO44+1</f>
        <v>66</v>
      </c>
      <c r="BQ44" s="964">
        <f t="shared" si="72"/>
        <v>67</v>
      </c>
      <c r="BR44" s="964">
        <f t="shared" si="72"/>
        <v>68</v>
      </c>
      <c r="BS44" s="964">
        <f t="shared" si="72"/>
        <v>69</v>
      </c>
      <c r="BT44" s="964">
        <f t="shared" si="72"/>
        <v>70</v>
      </c>
      <c r="BU44" s="964">
        <f t="shared" si="72"/>
        <v>71</v>
      </c>
      <c r="BV44" s="964">
        <f t="shared" si="72"/>
        <v>72</v>
      </c>
      <c r="BW44" s="964">
        <f t="shared" si="72"/>
        <v>73</v>
      </c>
      <c r="BX44" s="964">
        <f t="shared" si="72"/>
        <v>74</v>
      </c>
      <c r="BY44" s="964">
        <f t="shared" si="72"/>
        <v>75</v>
      </c>
      <c r="BZ44" s="964">
        <f t="shared" si="72"/>
        <v>76</v>
      </c>
      <c r="CA44" s="964">
        <f t="shared" si="72"/>
        <v>77</v>
      </c>
      <c r="CB44" s="964">
        <f t="shared" si="72"/>
        <v>78</v>
      </c>
      <c r="CC44" s="964">
        <f t="shared" si="72"/>
        <v>79</v>
      </c>
      <c r="CD44" s="964">
        <f t="shared" si="72"/>
        <v>80</v>
      </c>
      <c r="CE44" s="964">
        <f t="shared" si="72"/>
        <v>81</v>
      </c>
      <c r="CF44" s="964">
        <f t="shared" si="72"/>
        <v>82</v>
      </c>
      <c r="CG44" s="964">
        <f t="shared" si="72"/>
        <v>83</v>
      </c>
      <c r="CH44" s="964">
        <f t="shared" si="72"/>
        <v>84</v>
      </c>
      <c r="CI44" s="964"/>
      <c r="CJ44" s="964"/>
      <c r="CK44" s="964"/>
      <c r="CL44" s="964"/>
      <c r="CM44" s="964"/>
      <c r="CN44" s="964"/>
      <c r="CO44" s="964"/>
      <c r="CP44" s="964"/>
      <c r="CQ44" s="964"/>
      <c r="CR44" s="964"/>
      <c r="CS44" s="964"/>
      <c r="CT44" s="964"/>
      <c r="CU44" s="964"/>
      <c r="CV44" s="964"/>
      <c r="CW44" s="964"/>
      <c r="CX44" s="964"/>
      <c r="CY44" s="964"/>
      <c r="CZ44" s="964"/>
      <c r="DA44" s="964"/>
      <c r="DB44" s="964"/>
      <c r="DC44" s="964"/>
      <c r="DD44" s="964"/>
      <c r="DE44" s="964"/>
      <c r="DF44" s="964"/>
      <c r="DG44" s="964"/>
      <c r="DH44" s="964"/>
      <c r="DI44" s="964"/>
      <c r="DJ44" s="964"/>
      <c r="DK44" s="964"/>
      <c r="DL44" s="964"/>
      <c r="DM44" s="964"/>
      <c r="DN44" s="964"/>
      <c r="DO44" s="964"/>
      <c r="DP44" s="964"/>
      <c r="DQ44" s="964"/>
      <c r="DR44" s="964"/>
      <c r="DS44" s="964"/>
      <c r="DT44" s="964"/>
      <c r="DU44" s="964"/>
      <c r="DV44" s="964"/>
      <c r="DW44" s="964"/>
      <c r="DX44" s="964"/>
      <c r="DY44" s="964"/>
      <c r="DZ44" s="964"/>
      <c r="EA44" s="964"/>
      <c r="EB44" s="964"/>
      <c r="EC44" s="964"/>
      <c r="ED44" s="964"/>
      <c r="EE44" s="964"/>
      <c r="EF44" s="964"/>
      <c r="EG44" s="964"/>
      <c r="EH44" s="964"/>
      <c r="EI44" s="964"/>
      <c r="EJ44" s="964"/>
      <c r="EK44" s="964"/>
      <c r="EL44" s="964"/>
      <c r="EM44" s="964"/>
      <c r="EN44" s="964"/>
      <c r="EO44" s="964"/>
      <c r="EP44" s="964"/>
      <c r="EQ44" s="964"/>
      <c r="ER44" s="964"/>
      <c r="ES44" s="964"/>
      <c r="ET44" s="964"/>
      <c r="EU44" s="964"/>
      <c r="EV44" s="964"/>
      <c r="EW44" s="964"/>
      <c r="EX44" s="964"/>
      <c r="EY44" s="964"/>
      <c r="EZ44" s="964"/>
      <c r="FA44" s="964"/>
      <c r="FB44" s="964"/>
      <c r="FC44" s="964"/>
      <c r="FD44" s="964"/>
      <c r="FE44" s="964"/>
      <c r="FF44" s="964"/>
      <c r="FG44" s="964"/>
      <c r="FH44" s="964"/>
      <c r="FI44" s="964"/>
      <c r="FJ44" s="964"/>
      <c r="FK44" s="964"/>
      <c r="FL44" s="964"/>
      <c r="FM44" s="964"/>
      <c r="FN44" s="964"/>
      <c r="FO44" s="964"/>
      <c r="FP44" s="964"/>
      <c r="FQ44" s="964"/>
      <c r="FR44" s="964"/>
      <c r="FS44" s="964"/>
      <c r="FT44" s="964"/>
      <c r="FU44" s="964"/>
      <c r="FV44" s="964"/>
      <c r="FW44" s="964"/>
      <c r="FX44" s="964"/>
      <c r="FY44" s="964"/>
      <c r="FZ44" s="964"/>
      <c r="GA44" s="965"/>
    </row>
    <row r="45" spans="2:184" ht="34.95" customHeight="1" hidden="1" thickBot="1">
      <c r="B45" s="140" t="s">
        <v>147</v>
      </c>
      <c r="C45" s="402">
        <v>43831</v>
      </c>
      <c r="D45" s="1007">
        <f>+C45+31</f>
        <v>43862</v>
      </c>
      <c r="E45" s="1007">
        <f>+D45+31</f>
        <v>43893</v>
      </c>
      <c r="F45" s="1007">
        <f aca="true" t="shared" si="73" ref="F45:BQ45">+E45+31</f>
        <v>43924</v>
      </c>
      <c r="G45" s="1007">
        <f t="shared" si="73"/>
        <v>43955</v>
      </c>
      <c r="H45" s="1007">
        <f t="shared" si="73"/>
        <v>43986</v>
      </c>
      <c r="I45" s="1007">
        <f t="shared" si="73"/>
        <v>44017</v>
      </c>
      <c r="J45" s="1007">
        <f t="shared" si="73"/>
        <v>44048</v>
      </c>
      <c r="K45" s="1007">
        <f t="shared" si="73"/>
        <v>44079</v>
      </c>
      <c r="L45" s="1007">
        <f t="shared" si="73"/>
        <v>44110</v>
      </c>
      <c r="M45" s="1007">
        <f t="shared" si="73"/>
        <v>44141</v>
      </c>
      <c r="N45" s="1007">
        <f t="shared" si="73"/>
        <v>44172</v>
      </c>
      <c r="O45" s="1007">
        <f t="shared" si="73"/>
        <v>44203</v>
      </c>
      <c r="P45" s="1007">
        <f t="shared" si="73"/>
        <v>44234</v>
      </c>
      <c r="Q45" s="1007">
        <f t="shared" si="73"/>
        <v>44265</v>
      </c>
      <c r="R45" s="1007">
        <f t="shared" si="73"/>
        <v>44296</v>
      </c>
      <c r="S45" s="1007">
        <f t="shared" si="73"/>
        <v>44327</v>
      </c>
      <c r="T45" s="1007">
        <f t="shared" si="73"/>
        <v>44358</v>
      </c>
      <c r="U45" s="1007">
        <f t="shared" si="73"/>
        <v>44389</v>
      </c>
      <c r="V45" s="1007">
        <f t="shared" si="73"/>
        <v>44420</v>
      </c>
      <c r="W45" s="1007">
        <f t="shared" si="73"/>
        <v>44451</v>
      </c>
      <c r="X45" s="1007">
        <f t="shared" si="73"/>
        <v>44482</v>
      </c>
      <c r="Y45" s="1007">
        <f t="shared" si="73"/>
        <v>44513</v>
      </c>
      <c r="Z45" s="1007">
        <f t="shared" si="73"/>
        <v>44544</v>
      </c>
      <c r="AA45" s="1007">
        <f t="shared" si="73"/>
        <v>44575</v>
      </c>
      <c r="AB45" s="1007">
        <f t="shared" si="73"/>
        <v>44606</v>
      </c>
      <c r="AC45" s="1007">
        <f t="shared" si="73"/>
        <v>44637</v>
      </c>
      <c r="AD45" s="1007">
        <f t="shared" si="73"/>
        <v>44668</v>
      </c>
      <c r="AE45" s="1007">
        <f t="shared" si="73"/>
        <v>44699</v>
      </c>
      <c r="AF45" s="1007">
        <f t="shared" si="73"/>
        <v>44730</v>
      </c>
      <c r="AG45" s="1007">
        <f t="shared" si="73"/>
        <v>44761</v>
      </c>
      <c r="AH45" s="1007">
        <f t="shared" si="73"/>
        <v>44792</v>
      </c>
      <c r="AI45" s="1007">
        <f t="shared" si="73"/>
        <v>44823</v>
      </c>
      <c r="AJ45" s="1007">
        <f t="shared" si="73"/>
        <v>44854</v>
      </c>
      <c r="AK45" s="1007">
        <f t="shared" si="73"/>
        <v>44885</v>
      </c>
      <c r="AL45" s="1007">
        <f t="shared" si="73"/>
        <v>44916</v>
      </c>
      <c r="AM45" s="1007">
        <f t="shared" si="73"/>
        <v>44947</v>
      </c>
      <c r="AN45" s="1007">
        <f t="shared" si="73"/>
        <v>44978</v>
      </c>
      <c r="AO45" s="1007">
        <f t="shared" si="73"/>
        <v>45009</v>
      </c>
      <c r="AP45" s="1007">
        <f t="shared" si="73"/>
        <v>45040</v>
      </c>
      <c r="AQ45" s="1007">
        <f t="shared" si="73"/>
        <v>45071</v>
      </c>
      <c r="AR45" s="1007">
        <f t="shared" si="73"/>
        <v>45102</v>
      </c>
      <c r="AS45" s="1007">
        <f t="shared" si="73"/>
        <v>45133</v>
      </c>
      <c r="AT45" s="1007">
        <f t="shared" si="73"/>
        <v>45164</v>
      </c>
      <c r="AU45" s="1007">
        <f t="shared" si="73"/>
        <v>45195</v>
      </c>
      <c r="AV45" s="1007">
        <f t="shared" si="73"/>
        <v>45226</v>
      </c>
      <c r="AW45" s="1007">
        <f t="shared" si="73"/>
        <v>45257</v>
      </c>
      <c r="AX45" s="1007">
        <f t="shared" si="73"/>
        <v>45288</v>
      </c>
      <c r="AY45" s="1007">
        <f t="shared" si="73"/>
        <v>45319</v>
      </c>
      <c r="AZ45" s="1007">
        <f t="shared" si="73"/>
        <v>45350</v>
      </c>
      <c r="BA45" s="1007">
        <f t="shared" si="73"/>
        <v>45381</v>
      </c>
      <c r="BB45" s="1007">
        <f>+BA45+25</f>
        <v>45406</v>
      </c>
      <c r="BC45" s="1007">
        <f t="shared" si="73"/>
        <v>45437</v>
      </c>
      <c r="BD45" s="1007">
        <f t="shared" si="73"/>
        <v>45468</v>
      </c>
      <c r="BE45" s="1007">
        <f t="shared" si="73"/>
        <v>45499</v>
      </c>
      <c r="BF45" s="1007">
        <f t="shared" si="73"/>
        <v>45530</v>
      </c>
      <c r="BG45" s="1007">
        <f t="shared" si="73"/>
        <v>45561</v>
      </c>
      <c r="BH45" s="1007">
        <f t="shared" si="73"/>
        <v>45592</v>
      </c>
      <c r="BI45" s="1007">
        <f t="shared" si="73"/>
        <v>45623</v>
      </c>
      <c r="BJ45" s="1007">
        <f t="shared" si="73"/>
        <v>45654</v>
      </c>
      <c r="BK45" s="1007">
        <f t="shared" si="73"/>
        <v>45685</v>
      </c>
      <c r="BL45" s="1007">
        <f>+BK45+25</f>
        <v>45710</v>
      </c>
      <c r="BM45" s="1007">
        <f t="shared" si="73"/>
        <v>45741</v>
      </c>
      <c r="BN45" s="1007">
        <f t="shared" si="73"/>
        <v>45772</v>
      </c>
      <c r="BO45" s="1007">
        <f t="shared" si="73"/>
        <v>45803</v>
      </c>
      <c r="BP45" s="1007">
        <f t="shared" si="73"/>
        <v>45834</v>
      </c>
      <c r="BQ45" s="1007">
        <f t="shared" si="73"/>
        <v>45865</v>
      </c>
      <c r="BR45" s="1007">
        <f aca="true" t="shared" si="74" ref="BR45:CH45">+BQ45+31</f>
        <v>45896</v>
      </c>
      <c r="BS45" s="1007">
        <f t="shared" si="74"/>
        <v>45927</v>
      </c>
      <c r="BT45" s="1007">
        <f t="shared" si="74"/>
        <v>45958</v>
      </c>
      <c r="BU45" s="1007">
        <f t="shared" si="74"/>
        <v>45989</v>
      </c>
      <c r="BV45" s="1007">
        <f t="shared" si="74"/>
        <v>46020</v>
      </c>
      <c r="BW45" s="1007">
        <f t="shared" si="74"/>
        <v>46051</v>
      </c>
      <c r="BX45" s="1007">
        <f>+BW45+25</f>
        <v>46076</v>
      </c>
      <c r="BY45" s="1007">
        <f t="shared" si="74"/>
        <v>46107</v>
      </c>
      <c r="BZ45" s="1007">
        <f t="shared" si="74"/>
        <v>46138</v>
      </c>
      <c r="CA45" s="1007">
        <f t="shared" si="74"/>
        <v>46169</v>
      </c>
      <c r="CB45" s="1007">
        <f t="shared" si="74"/>
        <v>46200</v>
      </c>
      <c r="CC45" s="1007">
        <f t="shared" si="74"/>
        <v>46231</v>
      </c>
      <c r="CD45" s="1007">
        <f t="shared" si="74"/>
        <v>46262</v>
      </c>
      <c r="CE45" s="1007">
        <f t="shared" si="74"/>
        <v>46293</v>
      </c>
      <c r="CF45" s="1007">
        <f t="shared" si="74"/>
        <v>46324</v>
      </c>
      <c r="CG45" s="1007">
        <f t="shared" si="74"/>
        <v>46355</v>
      </c>
      <c r="CH45" s="1007">
        <f t="shared" si="74"/>
        <v>46386</v>
      </c>
      <c r="CI45" s="1007"/>
      <c r="CJ45" s="1007"/>
      <c r="CK45" s="1007"/>
      <c r="CL45" s="1007"/>
      <c r="CM45" s="1007"/>
      <c r="CN45" s="1007"/>
      <c r="CO45" s="1007"/>
      <c r="CP45" s="1007"/>
      <c r="CQ45" s="1007"/>
      <c r="CR45" s="1007"/>
      <c r="CS45" s="1007"/>
      <c r="CT45" s="1007"/>
      <c r="CU45" s="1007"/>
      <c r="CV45" s="1007"/>
      <c r="CW45" s="1007"/>
      <c r="CX45" s="1007"/>
      <c r="CY45" s="1007"/>
      <c r="CZ45" s="1007"/>
      <c r="DA45" s="1007"/>
      <c r="DB45" s="1007"/>
      <c r="DC45" s="1007"/>
      <c r="DD45" s="1007"/>
      <c r="DE45" s="1007"/>
      <c r="DF45" s="1007"/>
      <c r="DG45" s="1007"/>
      <c r="DH45" s="1007"/>
      <c r="DI45" s="1007"/>
      <c r="DJ45" s="1007"/>
      <c r="DK45" s="1007"/>
      <c r="DL45" s="1007"/>
      <c r="DM45" s="1007"/>
      <c r="DN45" s="1007"/>
      <c r="DO45" s="1007"/>
      <c r="DP45" s="1007"/>
      <c r="DQ45" s="1007"/>
      <c r="DR45" s="1007"/>
      <c r="DS45" s="1007"/>
      <c r="DT45" s="1007"/>
      <c r="DU45" s="1007"/>
      <c r="DV45" s="1007"/>
      <c r="DW45" s="1007"/>
      <c r="DX45" s="1007"/>
      <c r="DY45" s="1007"/>
      <c r="DZ45" s="1007"/>
      <c r="EA45" s="1007"/>
      <c r="EB45" s="1007"/>
      <c r="EC45" s="1007"/>
      <c r="ED45" s="1007"/>
      <c r="EE45" s="1007"/>
      <c r="EF45" s="1007"/>
      <c r="EG45" s="1007"/>
      <c r="EH45" s="1007"/>
      <c r="EI45" s="1007"/>
      <c r="EJ45" s="1007"/>
      <c r="EK45" s="1007"/>
      <c r="EL45" s="1007"/>
      <c r="EM45" s="1007"/>
      <c r="EN45" s="1007"/>
      <c r="EO45" s="1007"/>
      <c r="EP45" s="1007"/>
      <c r="EQ45" s="1007"/>
      <c r="ER45" s="1007"/>
      <c r="ES45" s="1007"/>
      <c r="ET45" s="1007"/>
      <c r="EU45" s="1007"/>
      <c r="EV45" s="1007"/>
      <c r="EW45" s="1007"/>
      <c r="EX45" s="1007"/>
      <c r="EY45" s="1007"/>
      <c r="EZ45" s="1007"/>
      <c r="FA45" s="1007"/>
      <c r="FB45" s="1007"/>
      <c r="FC45" s="1007"/>
      <c r="FD45" s="1007"/>
      <c r="FE45" s="1007"/>
      <c r="FF45" s="1007"/>
      <c r="FG45" s="1007"/>
      <c r="FH45" s="1007"/>
      <c r="FI45" s="1007"/>
      <c r="FJ45" s="1007"/>
      <c r="FK45" s="1007"/>
      <c r="FL45" s="1007"/>
      <c r="FM45" s="1007"/>
      <c r="FN45" s="1007"/>
      <c r="FO45" s="1007"/>
      <c r="FP45" s="1007"/>
      <c r="FQ45" s="1007"/>
      <c r="FR45" s="1007"/>
      <c r="FS45" s="1007"/>
      <c r="FT45" s="1007"/>
      <c r="FU45" s="1007"/>
      <c r="FV45" s="1007"/>
      <c r="FW45" s="1007"/>
      <c r="FX45" s="1007"/>
      <c r="FY45" s="1007"/>
      <c r="FZ45" s="1007"/>
      <c r="GA45" s="1008"/>
      <c r="GB45" s="1009"/>
    </row>
    <row r="46" spans="2:183" ht="34.95" customHeight="1" hidden="1" thickBot="1">
      <c r="B46" s="140" t="s">
        <v>154</v>
      </c>
      <c r="C46" s="445">
        <f>PMT($C$38/$C$34,$C$35,-$C$31)</f>
        <v>0</v>
      </c>
      <c r="D46" s="141">
        <f>IF(D44&gt;$C$35,0,PMT($C$38/$C$34,$C$35,-$C$31))</f>
        <v>0</v>
      </c>
      <c r="E46" s="141">
        <f aca="true" t="shared" si="75" ref="E46:BP46">IF(E44&gt;$C$35,0,PMT($C$38/$C$34,$C$35,-$C$31))</f>
        <v>0</v>
      </c>
      <c r="F46" s="141">
        <f t="shared" si="75"/>
        <v>0</v>
      </c>
      <c r="G46" s="141">
        <f t="shared" si="75"/>
        <v>0</v>
      </c>
      <c r="H46" s="141">
        <f t="shared" si="75"/>
        <v>0</v>
      </c>
      <c r="I46" s="141">
        <f t="shared" si="75"/>
        <v>0</v>
      </c>
      <c r="J46" s="141">
        <f t="shared" si="75"/>
        <v>0</v>
      </c>
      <c r="K46" s="141">
        <f t="shared" si="75"/>
        <v>0</v>
      </c>
      <c r="L46" s="141">
        <f t="shared" si="75"/>
        <v>0</v>
      </c>
      <c r="M46" s="141">
        <f t="shared" si="75"/>
        <v>0</v>
      </c>
      <c r="N46" s="141">
        <f t="shared" si="75"/>
        <v>0</v>
      </c>
      <c r="O46" s="141">
        <f t="shared" si="75"/>
        <v>0</v>
      </c>
      <c r="P46" s="141">
        <f t="shared" si="75"/>
        <v>0</v>
      </c>
      <c r="Q46" s="141">
        <f t="shared" si="75"/>
        <v>0</v>
      </c>
      <c r="R46" s="141">
        <f t="shared" si="75"/>
        <v>0</v>
      </c>
      <c r="S46" s="141">
        <f t="shared" si="75"/>
        <v>0</v>
      </c>
      <c r="T46" s="141">
        <f t="shared" si="75"/>
        <v>0</v>
      </c>
      <c r="U46" s="141">
        <f t="shared" si="75"/>
        <v>0</v>
      </c>
      <c r="V46" s="141">
        <f t="shared" si="75"/>
        <v>0</v>
      </c>
      <c r="W46" s="141">
        <f t="shared" si="75"/>
        <v>0</v>
      </c>
      <c r="X46" s="141">
        <f t="shared" si="75"/>
        <v>0</v>
      </c>
      <c r="Y46" s="141">
        <f t="shared" si="75"/>
        <v>0</v>
      </c>
      <c r="Z46" s="141">
        <f t="shared" si="75"/>
        <v>0</v>
      </c>
      <c r="AA46" s="141">
        <f t="shared" si="75"/>
        <v>0</v>
      </c>
      <c r="AB46" s="141">
        <f t="shared" si="75"/>
        <v>0</v>
      </c>
      <c r="AC46" s="141">
        <f t="shared" si="75"/>
        <v>0</v>
      </c>
      <c r="AD46" s="141">
        <f t="shared" si="75"/>
        <v>0</v>
      </c>
      <c r="AE46" s="141">
        <f t="shared" si="75"/>
        <v>0</v>
      </c>
      <c r="AF46" s="141">
        <f t="shared" si="75"/>
        <v>0</v>
      </c>
      <c r="AG46" s="141">
        <f t="shared" si="75"/>
        <v>0</v>
      </c>
      <c r="AH46" s="141">
        <f t="shared" si="75"/>
        <v>0</v>
      </c>
      <c r="AI46" s="141">
        <f t="shared" si="75"/>
        <v>0</v>
      </c>
      <c r="AJ46" s="141">
        <f t="shared" si="75"/>
        <v>0</v>
      </c>
      <c r="AK46" s="141">
        <f t="shared" si="75"/>
        <v>0</v>
      </c>
      <c r="AL46" s="141">
        <f t="shared" si="75"/>
        <v>0</v>
      </c>
      <c r="AM46" s="141">
        <f t="shared" si="75"/>
        <v>0</v>
      </c>
      <c r="AN46" s="141">
        <f t="shared" si="75"/>
        <v>0</v>
      </c>
      <c r="AO46" s="141">
        <f t="shared" si="75"/>
        <v>0</v>
      </c>
      <c r="AP46" s="141">
        <f t="shared" si="75"/>
        <v>0</v>
      </c>
      <c r="AQ46" s="141">
        <f t="shared" si="75"/>
        <v>0</v>
      </c>
      <c r="AR46" s="141">
        <f t="shared" si="75"/>
        <v>0</v>
      </c>
      <c r="AS46" s="141">
        <f t="shared" si="75"/>
        <v>0</v>
      </c>
      <c r="AT46" s="141">
        <f t="shared" si="75"/>
        <v>0</v>
      </c>
      <c r="AU46" s="141">
        <f t="shared" si="75"/>
        <v>0</v>
      </c>
      <c r="AV46" s="141">
        <f t="shared" si="75"/>
        <v>0</v>
      </c>
      <c r="AW46" s="141">
        <f t="shared" si="75"/>
        <v>0</v>
      </c>
      <c r="AX46" s="141">
        <f t="shared" si="75"/>
        <v>0</v>
      </c>
      <c r="AY46" s="141">
        <f t="shared" si="75"/>
        <v>0</v>
      </c>
      <c r="AZ46" s="141">
        <f t="shared" si="75"/>
        <v>0</v>
      </c>
      <c r="BA46" s="141">
        <f t="shared" si="75"/>
        <v>0</v>
      </c>
      <c r="BB46" s="141">
        <f t="shared" si="75"/>
        <v>0</v>
      </c>
      <c r="BC46" s="141">
        <f t="shared" si="75"/>
        <v>0</v>
      </c>
      <c r="BD46" s="141">
        <f t="shared" si="75"/>
        <v>0</v>
      </c>
      <c r="BE46" s="141">
        <f t="shared" si="75"/>
        <v>0</v>
      </c>
      <c r="BF46" s="141">
        <f t="shared" si="75"/>
        <v>0</v>
      </c>
      <c r="BG46" s="141">
        <f t="shared" si="75"/>
        <v>0</v>
      </c>
      <c r="BH46" s="141">
        <f t="shared" si="75"/>
        <v>0</v>
      </c>
      <c r="BI46" s="141">
        <f t="shared" si="75"/>
        <v>0</v>
      </c>
      <c r="BJ46" s="141">
        <f t="shared" si="75"/>
        <v>0</v>
      </c>
      <c r="BK46" s="141">
        <f t="shared" si="75"/>
        <v>0</v>
      </c>
      <c r="BL46" s="141">
        <f t="shared" si="75"/>
        <v>0</v>
      </c>
      <c r="BM46" s="141">
        <f t="shared" si="75"/>
        <v>0</v>
      </c>
      <c r="BN46" s="141">
        <f t="shared" si="75"/>
        <v>0</v>
      </c>
      <c r="BO46" s="141">
        <f t="shared" si="75"/>
        <v>0</v>
      </c>
      <c r="BP46" s="141">
        <f t="shared" si="75"/>
        <v>0</v>
      </c>
      <c r="BQ46" s="141">
        <f aca="true" t="shared" si="76" ref="BQ46:CH46">IF(BQ44&gt;$C$35,0,PMT($C$38/$C$34,$C$35,-$C$31))</f>
        <v>0</v>
      </c>
      <c r="BR46" s="141">
        <f t="shared" si="76"/>
        <v>0</v>
      </c>
      <c r="BS46" s="141">
        <f t="shared" si="76"/>
        <v>0</v>
      </c>
      <c r="BT46" s="141">
        <f t="shared" si="76"/>
        <v>0</v>
      </c>
      <c r="BU46" s="141">
        <f t="shared" si="76"/>
        <v>0</v>
      </c>
      <c r="BV46" s="141">
        <f t="shared" si="76"/>
        <v>0</v>
      </c>
      <c r="BW46" s="141">
        <f t="shared" si="76"/>
        <v>0</v>
      </c>
      <c r="BX46" s="141">
        <f t="shared" si="76"/>
        <v>0</v>
      </c>
      <c r="BY46" s="141">
        <f t="shared" si="76"/>
        <v>0</v>
      </c>
      <c r="BZ46" s="141">
        <f t="shared" si="76"/>
        <v>0</v>
      </c>
      <c r="CA46" s="141">
        <f t="shared" si="76"/>
        <v>0</v>
      </c>
      <c r="CB46" s="141">
        <f t="shared" si="76"/>
        <v>0</v>
      </c>
      <c r="CC46" s="141">
        <f t="shared" si="76"/>
        <v>0</v>
      </c>
      <c r="CD46" s="141">
        <f t="shared" si="76"/>
        <v>0</v>
      </c>
      <c r="CE46" s="141">
        <f t="shared" si="76"/>
        <v>0</v>
      </c>
      <c r="CF46" s="141">
        <f t="shared" si="76"/>
        <v>0</v>
      </c>
      <c r="CG46" s="141">
        <f t="shared" si="76"/>
        <v>0</v>
      </c>
      <c r="CH46" s="141">
        <f t="shared" si="76"/>
        <v>0</v>
      </c>
      <c r="CI46" s="141"/>
      <c r="CJ46" s="141"/>
      <c r="CK46" s="141"/>
      <c r="CL46" s="141"/>
      <c r="CM46" s="141"/>
      <c r="CN46" s="141"/>
      <c r="CO46" s="141"/>
      <c r="CP46" s="141"/>
      <c r="CQ46" s="141"/>
      <c r="CR46" s="141"/>
      <c r="CS46" s="141"/>
      <c r="CT46" s="141"/>
      <c r="CU46" s="141"/>
      <c r="CV46" s="141"/>
      <c r="CW46" s="141"/>
      <c r="CX46" s="141"/>
      <c r="CY46" s="141"/>
      <c r="CZ46" s="141"/>
      <c r="DA46" s="141"/>
      <c r="DB46" s="141"/>
      <c r="DC46" s="141"/>
      <c r="DD46" s="141"/>
      <c r="DE46" s="141"/>
      <c r="DF46" s="141"/>
      <c r="DG46" s="141"/>
      <c r="DH46" s="141"/>
      <c r="DI46" s="141"/>
      <c r="DJ46" s="141"/>
      <c r="DK46" s="141"/>
      <c r="DL46" s="141"/>
      <c r="DM46" s="141"/>
      <c r="DN46" s="141"/>
      <c r="DO46" s="141"/>
      <c r="DP46" s="141"/>
      <c r="DQ46" s="141"/>
      <c r="DR46" s="141"/>
      <c r="DS46" s="141"/>
      <c r="DT46" s="141"/>
      <c r="DU46" s="141"/>
      <c r="DV46" s="141"/>
      <c r="DW46" s="141"/>
      <c r="DX46" s="141"/>
      <c r="DY46" s="141"/>
      <c r="DZ46" s="141"/>
      <c r="EA46" s="141"/>
      <c r="EB46" s="141"/>
      <c r="EC46" s="141"/>
      <c r="ED46" s="141"/>
      <c r="EE46" s="141"/>
      <c r="EF46" s="141"/>
      <c r="EG46" s="141"/>
      <c r="EH46" s="141"/>
      <c r="EI46" s="141"/>
      <c r="EJ46" s="141"/>
      <c r="EK46" s="141"/>
      <c r="EL46" s="141"/>
      <c r="EM46" s="141"/>
      <c r="EN46" s="141"/>
      <c r="EO46" s="141"/>
      <c r="EP46" s="141"/>
      <c r="EQ46" s="141"/>
      <c r="ER46" s="141"/>
      <c r="ES46" s="141"/>
      <c r="ET46" s="141"/>
      <c r="EU46" s="141"/>
      <c r="EV46" s="141"/>
      <c r="EW46" s="141"/>
      <c r="EX46" s="141"/>
      <c r="EY46" s="141"/>
      <c r="EZ46" s="141"/>
      <c r="FA46" s="141"/>
      <c r="FB46" s="141"/>
      <c r="FC46" s="141"/>
      <c r="FD46" s="141"/>
      <c r="FE46" s="141"/>
      <c r="FF46" s="141"/>
      <c r="FG46" s="141"/>
      <c r="FH46" s="141"/>
      <c r="FI46" s="141"/>
      <c r="FJ46" s="141"/>
      <c r="FK46" s="141"/>
      <c r="FL46" s="141"/>
      <c r="FM46" s="141"/>
      <c r="FN46" s="141"/>
      <c r="FO46" s="141"/>
      <c r="FP46" s="141"/>
      <c r="FQ46" s="141"/>
      <c r="FR46" s="141"/>
      <c r="FS46" s="141"/>
      <c r="FT46" s="141"/>
      <c r="FU46" s="141"/>
      <c r="FV46" s="141"/>
      <c r="FW46" s="141"/>
      <c r="FX46" s="141"/>
      <c r="FY46" s="141"/>
      <c r="FZ46" s="141"/>
      <c r="GA46" s="142"/>
    </row>
    <row r="47" spans="2:183" ht="34.95" customHeight="1" hidden="1" thickBot="1">
      <c r="B47" s="140" t="s">
        <v>148</v>
      </c>
      <c r="C47" s="141">
        <f>+PPMT($C$38/$C$34,C44,$C$35,-$C$31)</f>
        <v>0</v>
      </c>
      <c r="D47" s="141">
        <f>IF(D44&gt;$C$35,0,PPMT($C$38/$C$34,D44,$C$35,-$C$31))</f>
        <v>0</v>
      </c>
      <c r="E47" s="141">
        <f aca="true" t="shared" si="77" ref="E47:BP47">IF(E44&gt;$C$35,0,PPMT($C$38/$C$34,E44,$C$35,-$C$31))</f>
        <v>0</v>
      </c>
      <c r="F47" s="141">
        <f t="shared" si="77"/>
        <v>0</v>
      </c>
      <c r="G47" s="141">
        <f t="shared" si="77"/>
        <v>0</v>
      </c>
      <c r="H47" s="141">
        <f t="shared" si="77"/>
        <v>0</v>
      </c>
      <c r="I47" s="141">
        <f t="shared" si="77"/>
        <v>0</v>
      </c>
      <c r="J47" s="141">
        <f t="shared" si="77"/>
        <v>0</v>
      </c>
      <c r="K47" s="141">
        <f t="shared" si="77"/>
        <v>0</v>
      </c>
      <c r="L47" s="141">
        <f t="shared" si="77"/>
        <v>0</v>
      </c>
      <c r="M47" s="141">
        <f t="shared" si="77"/>
        <v>0</v>
      </c>
      <c r="N47" s="141">
        <f t="shared" si="77"/>
        <v>0</v>
      </c>
      <c r="O47" s="141">
        <f t="shared" si="77"/>
        <v>0</v>
      </c>
      <c r="P47" s="141">
        <f t="shared" si="77"/>
        <v>0</v>
      </c>
      <c r="Q47" s="141">
        <f t="shared" si="77"/>
        <v>0</v>
      </c>
      <c r="R47" s="141">
        <f t="shared" si="77"/>
        <v>0</v>
      </c>
      <c r="S47" s="141">
        <f t="shared" si="77"/>
        <v>0</v>
      </c>
      <c r="T47" s="141">
        <f t="shared" si="77"/>
        <v>0</v>
      </c>
      <c r="U47" s="141">
        <f t="shared" si="77"/>
        <v>0</v>
      </c>
      <c r="V47" s="141">
        <f t="shared" si="77"/>
        <v>0</v>
      </c>
      <c r="W47" s="141">
        <f t="shared" si="77"/>
        <v>0</v>
      </c>
      <c r="X47" s="141">
        <f t="shared" si="77"/>
        <v>0</v>
      </c>
      <c r="Y47" s="141">
        <f t="shared" si="77"/>
        <v>0</v>
      </c>
      <c r="Z47" s="141">
        <f t="shared" si="77"/>
        <v>0</v>
      </c>
      <c r="AA47" s="141">
        <f t="shared" si="77"/>
        <v>0</v>
      </c>
      <c r="AB47" s="141">
        <f t="shared" si="77"/>
        <v>0</v>
      </c>
      <c r="AC47" s="141">
        <f t="shared" si="77"/>
        <v>0</v>
      </c>
      <c r="AD47" s="141">
        <f t="shared" si="77"/>
        <v>0</v>
      </c>
      <c r="AE47" s="141">
        <f t="shared" si="77"/>
        <v>0</v>
      </c>
      <c r="AF47" s="141">
        <f t="shared" si="77"/>
        <v>0</v>
      </c>
      <c r="AG47" s="141">
        <f t="shared" si="77"/>
        <v>0</v>
      </c>
      <c r="AH47" s="141">
        <f t="shared" si="77"/>
        <v>0</v>
      </c>
      <c r="AI47" s="141">
        <f t="shared" si="77"/>
        <v>0</v>
      </c>
      <c r="AJ47" s="141">
        <f t="shared" si="77"/>
        <v>0</v>
      </c>
      <c r="AK47" s="141">
        <f t="shared" si="77"/>
        <v>0</v>
      </c>
      <c r="AL47" s="141">
        <f t="shared" si="77"/>
        <v>0</v>
      </c>
      <c r="AM47" s="141">
        <f t="shared" si="77"/>
        <v>0</v>
      </c>
      <c r="AN47" s="141">
        <f t="shared" si="77"/>
        <v>0</v>
      </c>
      <c r="AO47" s="141">
        <f t="shared" si="77"/>
        <v>0</v>
      </c>
      <c r="AP47" s="141">
        <f t="shared" si="77"/>
        <v>0</v>
      </c>
      <c r="AQ47" s="141">
        <f t="shared" si="77"/>
        <v>0</v>
      </c>
      <c r="AR47" s="141">
        <f t="shared" si="77"/>
        <v>0</v>
      </c>
      <c r="AS47" s="141">
        <f t="shared" si="77"/>
        <v>0</v>
      </c>
      <c r="AT47" s="141">
        <f t="shared" si="77"/>
        <v>0</v>
      </c>
      <c r="AU47" s="141">
        <f t="shared" si="77"/>
        <v>0</v>
      </c>
      <c r="AV47" s="141">
        <f t="shared" si="77"/>
        <v>0</v>
      </c>
      <c r="AW47" s="141">
        <f t="shared" si="77"/>
        <v>0</v>
      </c>
      <c r="AX47" s="141">
        <f t="shared" si="77"/>
        <v>0</v>
      </c>
      <c r="AY47" s="141">
        <f t="shared" si="77"/>
        <v>0</v>
      </c>
      <c r="AZ47" s="141">
        <f t="shared" si="77"/>
        <v>0</v>
      </c>
      <c r="BA47" s="141">
        <f t="shared" si="77"/>
        <v>0</v>
      </c>
      <c r="BB47" s="141">
        <f t="shared" si="77"/>
        <v>0</v>
      </c>
      <c r="BC47" s="141">
        <f t="shared" si="77"/>
        <v>0</v>
      </c>
      <c r="BD47" s="141">
        <f t="shared" si="77"/>
        <v>0</v>
      </c>
      <c r="BE47" s="141">
        <f t="shared" si="77"/>
        <v>0</v>
      </c>
      <c r="BF47" s="141">
        <f t="shared" si="77"/>
        <v>0</v>
      </c>
      <c r="BG47" s="141">
        <f t="shared" si="77"/>
        <v>0</v>
      </c>
      <c r="BH47" s="141">
        <f t="shared" si="77"/>
        <v>0</v>
      </c>
      <c r="BI47" s="141">
        <f t="shared" si="77"/>
        <v>0</v>
      </c>
      <c r="BJ47" s="141">
        <f t="shared" si="77"/>
        <v>0</v>
      </c>
      <c r="BK47" s="141">
        <f t="shared" si="77"/>
        <v>0</v>
      </c>
      <c r="BL47" s="141">
        <f t="shared" si="77"/>
        <v>0</v>
      </c>
      <c r="BM47" s="141">
        <f t="shared" si="77"/>
        <v>0</v>
      </c>
      <c r="BN47" s="141">
        <f t="shared" si="77"/>
        <v>0</v>
      </c>
      <c r="BO47" s="141">
        <f t="shared" si="77"/>
        <v>0</v>
      </c>
      <c r="BP47" s="141">
        <f t="shared" si="77"/>
        <v>0</v>
      </c>
      <c r="BQ47" s="141">
        <f aca="true" t="shared" si="78" ref="BQ47:CH47">IF(BQ44&gt;$C$35,0,PPMT($C$38/$C$34,BQ44,$C$35,-$C$31))</f>
        <v>0</v>
      </c>
      <c r="BR47" s="141">
        <f t="shared" si="78"/>
        <v>0</v>
      </c>
      <c r="BS47" s="141">
        <f t="shared" si="78"/>
        <v>0</v>
      </c>
      <c r="BT47" s="141">
        <f t="shared" si="78"/>
        <v>0</v>
      </c>
      <c r="BU47" s="141">
        <f t="shared" si="78"/>
        <v>0</v>
      </c>
      <c r="BV47" s="141">
        <f t="shared" si="78"/>
        <v>0</v>
      </c>
      <c r="BW47" s="141">
        <f t="shared" si="78"/>
        <v>0</v>
      </c>
      <c r="BX47" s="141">
        <f t="shared" si="78"/>
        <v>0</v>
      </c>
      <c r="BY47" s="141">
        <f t="shared" si="78"/>
        <v>0</v>
      </c>
      <c r="BZ47" s="141">
        <f t="shared" si="78"/>
        <v>0</v>
      </c>
      <c r="CA47" s="141">
        <f t="shared" si="78"/>
        <v>0</v>
      </c>
      <c r="CB47" s="141">
        <f t="shared" si="78"/>
        <v>0</v>
      </c>
      <c r="CC47" s="141">
        <f t="shared" si="78"/>
        <v>0</v>
      </c>
      <c r="CD47" s="141">
        <f t="shared" si="78"/>
        <v>0</v>
      </c>
      <c r="CE47" s="141">
        <f t="shared" si="78"/>
        <v>0</v>
      </c>
      <c r="CF47" s="141">
        <f t="shared" si="78"/>
        <v>0</v>
      </c>
      <c r="CG47" s="141">
        <f t="shared" si="78"/>
        <v>0</v>
      </c>
      <c r="CH47" s="141">
        <f t="shared" si="78"/>
        <v>0</v>
      </c>
      <c r="CI47" s="141"/>
      <c r="CJ47" s="141"/>
      <c r="CK47" s="141"/>
      <c r="CL47" s="141"/>
      <c r="CM47" s="141"/>
      <c r="CN47" s="141"/>
      <c r="CO47" s="141"/>
      <c r="CP47" s="141"/>
      <c r="CQ47" s="141"/>
      <c r="CR47" s="141"/>
      <c r="CS47" s="141"/>
      <c r="CT47" s="141"/>
      <c r="CU47" s="141"/>
      <c r="CV47" s="141"/>
      <c r="CW47" s="141"/>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1"/>
      <c r="DV47" s="141"/>
      <c r="DW47" s="141"/>
      <c r="DX47" s="141"/>
      <c r="DY47" s="141"/>
      <c r="DZ47" s="141"/>
      <c r="EA47" s="141"/>
      <c r="EB47" s="141"/>
      <c r="EC47" s="141"/>
      <c r="ED47" s="141"/>
      <c r="EE47" s="141"/>
      <c r="EF47" s="141"/>
      <c r="EG47" s="141"/>
      <c r="EH47" s="141"/>
      <c r="EI47" s="141"/>
      <c r="EJ47" s="141"/>
      <c r="EK47" s="141"/>
      <c r="EL47" s="141"/>
      <c r="EM47" s="141"/>
      <c r="EN47" s="141"/>
      <c r="EO47" s="141"/>
      <c r="EP47" s="141"/>
      <c r="EQ47" s="141"/>
      <c r="ER47" s="141"/>
      <c r="ES47" s="141"/>
      <c r="ET47" s="141"/>
      <c r="EU47" s="141"/>
      <c r="EV47" s="141"/>
      <c r="EW47" s="141"/>
      <c r="EX47" s="141"/>
      <c r="EY47" s="141"/>
      <c r="EZ47" s="141"/>
      <c r="FA47" s="141"/>
      <c r="FB47" s="141"/>
      <c r="FC47" s="141"/>
      <c r="FD47" s="141"/>
      <c r="FE47" s="141"/>
      <c r="FF47" s="141"/>
      <c r="FG47" s="141"/>
      <c r="FH47" s="141"/>
      <c r="FI47" s="141"/>
      <c r="FJ47" s="141"/>
      <c r="FK47" s="141"/>
      <c r="FL47" s="141"/>
      <c r="FM47" s="141"/>
      <c r="FN47" s="141"/>
      <c r="FO47" s="141"/>
      <c r="FP47" s="141"/>
      <c r="FQ47" s="141"/>
      <c r="FR47" s="141"/>
      <c r="FS47" s="141"/>
      <c r="FT47" s="141"/>
      <c r="FU47" s="141"/>
      <c r="FV47" s="141"/>
      <c r="FW47" s="141"/>
      <c r="FX47" s="141"/>
      <c r="FY47" s="141"/>
      <c r="FZ47" s="141"/>
      <c r="GA47" s="142"/>
    </row>
    <row r="48" spans="2:183" ht="34.95" customHeight="1" hidden="1" thickBot="1">
      <c r="B48" s="140" t="s">
        <v>149</v>
      </c>
      <c r="C48" s="141">
        <f>IPMT(C38/C34,C44,C35,-C31)</f>
        <v>0</v>
      </c>
      <c r="D48" s="141">
        <f>IF(D44&gt;$C$35,0,IPMT($C$38/$C$34,D44,$C$35,-$C$31))</f>
        <v>0</v>
      </c>
      <c r="E48" s="141">
        <f aca="true" t="shared" si="79" ref="E48:BP48">IF(E44&gt;$C$35,0,IPMT($C$38/$C$34,E44,$C$35,-$C$31))</f>
        <v>0</v>
      </c>
      <c r="F48" s="141">
        <f t="shared" si="79"/>
        <v>0</v>
      </c>
      <c r="G48" s="141">
        <f t="shared" si="79"/>
        <v>0</v>
      </c>
      <c r="H48" s="141">
        <f t="shared" si="79"/>
        <v>0</v>
      </c>
      <c r="I48" s="141">
        <f t="shared" si="79"/>
        <v>0</v>
      </c>
      <c r="J48" s="141">
        <f t="shared" si="79"/>
        <v>0</v>
      </c>
      <c r="K48" s="141">
        <f t="shared" si="79"/>
        <v>0</v>
      </c>
      <c r="L48" s="141">
        <f t="shared" si="79"/>
        <v>0</v>
      </c>
      <c r="M48" s="141">
        <f t="shared" si="79"/>
        <v>0</v>
      </c>
      <c r="N48" s="141">
        <f t="shared" si="79"/>
        <v>0</v>
      </c>
      <c r="O48" s="141">
        <f t="shared" si="79"/>
        <v>0</v>
      </c>
      <c r="P48" s="141">
        <f t="shared" si="79"/>
        <v>0</v>
      </c>
      <c r="Q48" s="141">
        <f t="shared" si="79"/>
        <v>0</v>
      </c>
      <c r="R48" s="141">
        <f t="shared" si="79"/>
        <v>0</v>
      </c>
      <c r="S48" s="141">
        <f t="shared" si="79"/>
        <v>0</v>
      </c>
      <c r="T48" s="141">
        <f t="shared" si="79"/>
        <v>0</v>
      </c>
      <c r="U48" s="141">
        <f t="shared" si="79"/>
        <v>0</v>
      </c>
      <c r="V48" s="141">
        <f t="shared" si="79"/>
        <v>0</v>
      </c>
      <c r="W48" s="141">
        <f t="shared" si="79"/>
        <v>0</v>
      </c>
      <c r="X48" s="141">
        <f t="shared" si="79"/>
        <v>0</v>
      </c>
      <c r="Y48" s="141">
        <f t="shared" si="79"/>
        <v>0</v>
      </c>
      <c r="Z48" s="141">
        <f t="shared" si="79"/>
        <v>0</v>
      </c>
      <c r="AA48" s="141">
        <f t="shared" si="79"/>
        <v>0</v>
      </c>
      <c r="AB48" s="141">
        <f t="shared" si="79"/>
        <v>0</v>
      </c>
      <c r="AC48" s="141">
        <f t="shared" si="79"/>
        <v>0</v>
      </c>
      <c r="AD48" s="141">
        <f t="shared" si="79"/>
        <v>0</v>
      </c>
      <c r="AE48" s="141">
        <f t="shared" si="79"/>
        <v>0</v>
      </c>
      <c r="AF48" s="141">
        <f t="shared" si="79"/>
        <v>0</v>
      </c>
      <c r="AG48" s="141">
        <f t="shared" si="79"/>
        <v>0</v>
      </c>
      <c r="AH48" s="141">
        <f t="shared" si="79"/>
        <v>0</v>
      </c>
      <c r="AI48" s="141">
        <f t="shared" si="79"/>
        <v>0</v>
      </c>
      <c r="AJ48" s="141">
        <f t="shared" si="79"/>
        <v>0</v>
      </c>
      <c r="AK48" s="141">
        <f t="shared" si="79"/>
        <v>0</v>
      </c>
      <c r="AL48" s="141">
        <f t="shared" si="79"/>
        <v>0</v>
      </c>
      <c r="AM48" s="141">
        <f t="shared" si="79"/>
        <v>0</v>
      </c>
      <c r="AN48" s="141">
        <f t="shared" si="79"/>
        <v>0</v>
      </c>
      <c r="AO48" s="141">
        <f t="shared" si="79"/>
        <v>0</v>
      </c>
      <c r="AP48" s="141">
        <f t="shared" si="79"/>
        <v>0</v>
      </c>
      <c r="AQ48" s="141">
        <f t="shared" si="79"/>
        <v>0</v>
      </c>
      <c r="AR48" s="141">
        <f t="shared" si="79"/>
        <v>0</v>
      </c>
      <c r="AS48" s="141">
        <f t="shared" si="79"/>
        <v>0</v>
      </c>
      <c r="AT48" s="141">
        <f t="shared" si="79"/>
        <v>0</v>
      </c>
      <c r="AU48" s="141">
        <f t="shared" si="79"/>
        <v>0</v>
      </c>
      <c r="AV48" s="141">
        <f t="shared" si="79"/>
        <v>0</v>
      </c>
      <c r="AW48" s="141">
        <f t="shared" si="79"/>
        <v>0</v>
      </c>
      <c r="AX48" s="141">
        <f t="shared" si="79"/>
        <v>0</v>
      </c>
      <c r="AY48" s="141">
        <f t="shared" si="79"/>
        <v>0</v>
      </c>
      <c r="AZ48" s="141">
        <f t="shared" si="79"/>
        <v>0</v>
      </c>
      <c r="BA48" s="141">
        <f t="shared" si="79"/>
        <v>0</v>
      </c>
      <c r="BB48" s="141">
        <f t="shared" si="79"/>
        <v>0</v>
      </c>
      <c r="BC48" s="141">
        <f t="shared" si="79"/>
        <v>0</v>
      </c>
      <c r="BD48" s="141">
        <f t="shared" si="79"/>
        <v>0</v>
      </c>
      <c r="BE48" s="141">
        <f t="shared" si="79"/>
        <v>0</v>
      </c>
      <c r="BF48" s="141">
        <f t="shared" si="79"/>
        <v>0</v>
      </c>
      <c r="BG48" s="141">
        <f t="shared" si="79"/>
        <v>0</v>
      </c>
      <c r="BH48" s="141">
        <f t="shared" si="79"/>
        <v>0</v>
      </c>
      <c r="BI48" s="141">
        <f t="shared" si="79"/>
        <v>0</v>
      </c>
      <c r="BJ48" s="141">
        <f t="shared" si="79"/>
        <v>0</v>
      </c>
      <c r="BK48" s="141">
        <f t="shared" si="79"/>
        <v>0</v>
      </c>
      <c r="BL48" s="141">
        <f t="shared" si="79"/>
        <v>0</v>
      </c>
      <c r="BM48" s="141">
        <f t="shared" si="79"/>
        <v>0</v>
      </c>
      <c r="BN48" s="141">
        <f t="shared" si="79"/>
        <v>0</v>
      </c>
      <c r="BO48" s="141">
        <f t="shared" si="79"/>
        <v>0</v>
      </c>
      <c r="BP48" s="141">
        <f t="shared" si="79"/>
        <v>0</v>
      </c>
      <c r="BQ48" s="141">
        <f aca="true" t="shared" si="80" ref="BQ48:CH48">IF(BQ44&gt;$C$35,0,IPMT($C$38/$C$34,BQ44,$C$35,-$C$31))</f>
        <v>0</v>
      </c>
      <c r="BR48" s="141">
        <f t="shared" si="80"/>
        <v>0</v>
      </c>
      <c r="BS48" s="141">
        <f t="shared" si="80"/>
        <v>0</v>
      </c>
      <c r="BT48" s="141">
        <f t="shared" si="80"/>
        <v>0</v>
      </c>
      <c r="BU48" s="141">
        <f t="shared" si="80"/>
        <v>0</v>
      </c>
      <c r="BV48" s="141">
        <f t="shared" si="80"/>
        <v>0</v>
      </c>
      <c r="BW48" s="141">
        <f t="shared" si="80"/>
        <v>0</v>
      </c>
      <c r="BX48" s="141">
        <f t="shared" si="80"/>
        <v>0</v>
      </c>
      <c r="BY48" s="141">
        <f t="shared" si="80"/>
        <v>0</v>
      </c>
      <c r="BZ48" s="141">
        <f t="shared" si="80"/>
        <v>0</v>
      </c>
      <c r="CA48" s="141">
        <f t="shared" si="80"/>
        <v>0</v>
      </c>
      <c r="CB48" s="141">
        <f t="shared" si="80"/>
        <v>0</v>
      </c>
      <c r="CC48" s="141">
        <f t="shared" si="80"/>
        <v>0</v>
      </c>
      <c r="CD48" s="141">
        <f t="shared" si="80"/>
        <v>0</v>
      </c>
      <c r="CE48" s="141">
        <f t="shared" si="80"/>
        <v>0</v>
      </c>
      <c r="CF48" s="141">
        <f t="shared" si="80"/>
        <v>0</v>
      </c>
      <c r="CG48" s="141">
        <f t="shared" si="80"/>
        <v>0</v>
      </c>
      <c r="CH48" s="141">
        <f t="shared" si="80"/>
        <v>0</v>
      </c>
      <c r="CI48" s="141"/>
      <c r="CJ48" s="141"/>
      <c r="CK48" s="141"/>
      <c r="CL48" s="141"/>
      <c r="CM48" s="141"/>
      <c r="CN48" s="141"/>
      <c r="CO48" s="141"/>
      <c r="CP48" s="141"/>
      <c r="CQ48" s="141"/>
      <c r="CR48" s="141"/>
      <c r="CS48" s="141"/>
      <c r="CT48" s="141"/>
      <c r="CU48" s="141"/>
      <c r="CV48" s="141"/>
      <c r="CW48" s="141"/>
      <c r="CX48" s="141"/>
      <c r="CY48" s="141"/>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1"/>
      <c r="DV48" s="141"/>
      <c r="DW48" s="141"/>
      <c r="DX48" s="141"/>
      <c r="DY48" s="141"/>
      <c r="DZ48" s="141"/>
      <c r="EA48" s="141"/>
      <c r="EB48" s="141"/>
      <c r="EC48" s="141"/>
      <c r="ED48" s="141"/>
      <c r="EE48" s="141"/>
      <c r="EF48" s="141"/>
      <c r="EG48" s="141"/>
      <c r="EH48" s="141"/>
      <c r="EI48" s="141"/>
      <c r="EJ48" s="141"/>
      <c r="EK48" s="141"/>
      <c r="EL48" s="141"/>
      <c r="EM48" s="141"/>
      <c r="EN48" s="141"/>
      <c r="EO48" s="141"/>
      <c r="EP48" s="141"/>
      <c r="EQ48" s="141"/>
      <c r="ER48" s="141"/>
      <c r="ES48" s="141"/>
      <c r="ET48" s="141"/>
      <c r="EU48" s="141"/>
      <c r="EV48" s="141"/>
      <c r="EW48" s="141"/>
      <c r="EX48" s="141"/>
      <c r="EY48" s="141"/>
      <c r="EZ48" s="141"/>
      <c r="FA48" s="141"/>
      <c r="FB48" s="141"/>
      <c r="FC48" s="141"/>
      <c r="FD48" s="141"/>
      <c r="FE48" s="141"/>
      <c r="FF48" s="141"/>
      <c r="FG48" s="141"/>
      <c r="FH48" s="141"/>
      <c r="FI48" s="141"/>
      <c r="FJ48" s="141"/>
      <c r="FK48" s="141"/>
      <c r="FL48" s="141"/>
      <c r="FM48" s="141"/>
      <c r="FN48" s="141"/>
      <c r="FO48" s="141"/>
      <c r="FP48" s="141"/>
      <c r="FQ48" s="141"/>
      <c r="FR48" s="141"/>
      <c r="FS48" s="141"/>
      <c r="FT48" s="141"/>
      <c r="FU48" s="141"/>
      <c r="FV48" s="141"/>
      <c r="FW48" s="141"/>
      <c r="FX48" s="141"/>
      <c r="FY48" s="141"/>
      <c r="FZ48" s="141"/>
      <c r="GA48" s="143"/>
    </row>
    <row r="49" spans="2:183" ht="34.95" customHeight="1" hidden="1" thickBot="1">
      <c r="B49" s="144" t="s">
        <v>152</v>
      </c>
      <c r="C49" s="445">
        <f>+C31-C47</f>
        <v>0</v>
      </c>
      <c r="D49" s="141">
        <f>+IF(D44&gt;$C$35,0,C49-D47)</f>
        <v>0</v>
      </c>
      <c r="E49" s="141">
        <f aca="true" t="shared" si="81" ref="E49:BP49">+IF(E44&gt;$C$35,0,D49-E47)</f>
        <v>0</v>
      </c>
      <c r="F49" s="141">
        <f t="shared" si="81"/>
        <v>0</v>
      </c>
      <c r="G49" s="141">
        <f t="shared" si="81"/>
        <v>0</v>
      </c>
      <c r="H49" s="141">
        <f t="shared" si="81"/>
        <v>0</v>
      </c>
      <c r="I49" s="141">
        <f t="shared" si="81"/>
        <v>0</v>
      </c>
      <c r="J49" s="141">
        <f t="shared" si="81"/>
        <v>0</v>
      </c>
      <c r="K49" s="141">
        <f t="shared" si="81"/>
        <v>0</v>
      </c>
      <c r="L49" s="141">
        <f t="shared" si="81"/>
        <v>0</v>
      </c>
      <c r="M49" s="141">
        <f t="shared" si="81"/>
        <v>0</v>
      </c>
      <c r="N49" s="141">
        <f t="shared" si="81"/>
        <v>0</v>
      </c>
      <c r="O49" s="141">
        <f t="shared" si="81"/>
        <v>0</v>
      </c>
      <c r="P49" s="141">
        <f t="shared" si="81"/>
        <v>0</v>
      </c>
      <c r="Q49" s="141">
        <f t="shared" si="81"/>
        <v>0</v>
      </c>
      <c r="R49" s="141">
        <f t="shared" si="81"/>
        <v>0</v>
      </c>
      <c r="S49" s="141">
        <f t="shared" si="81"/>
        <v>0</v>
      </c>
      <c r="T49" s="141">
        <f t="shared" si="81"/>
        <v>0</v>
      </c>
      <c r="U49" s="141">
        <f t="shared" si="81"/>
        <v>0</v>
      </c>
      <c r="V49" s="141">
        <f t="shared" si="81"/>
        <v>0</v>
      </c>
      <c r="W49" s="141">
        <f t="shared" si="81"/>
        <v>0</v>
      </c>
      <c r="X49" s="141">
        <f t="shared" si="81"/>
        <v>0</v>
      </c>
      <c r="Y49" s="141">
        <f t="shared" si="81"/>
        <v>0</v>
      </c>
      <c r="Z49" s="141">
        <f t="shared" si="81"/>
        <v>0</v>
      </c>
      <c r="AA49" s="141">
        <f t="shared" si="81"/>
        <v>0</v>
      </c>
      <c r="AB49" s="141">
        <f t="shared" si="81"/>
        <v>0</v>
      </c>
      <c r="AC49" s="141">
        <f t="shared" si="81"/>
        <v>0</v>
      </c>
      <c r="AD49" s="141">
        <f t="shared" si="81"/>
        <v>0</v>
      </c>
      <c r="AE49" s="141">
        <f t="shared" si="81"/>
        <v>0</v>
      </c>
      <c r="AF49" s="141">
        <f t="shared" si="81"/>
        <v>0</v>
      </c>
      <c r="AG49" s="141">
        <f t="shared" si="81"/>
        <v>0</v>
      </c>
      <c r="AH49" s="141">
        <f t="shared" si="81"/>
        <v>0</v>
      </c>
      <c r="AI49" s="141">
        <f t="shared" si="81"/>
        <v>0</v>
      </c>
      <c r="AJ49" s="141">
        <f t="shared" si="81"/>
        <v>0</v>
      </c>
      <c r="AK49" s="141">
        <f t="shared" si="81"/>
        <v>0</v>
      </c>
      <c r="AL49" s="141">
        <f t="shared" si="81"/>
        <v>0</v>
      </c>
      <c r="AM49" s="141">
        <f t="shared" si="81"/>
        <v>0</v>
      </c>
      <c r="AN49" s="141">
        <f t="shared" si="81"/>
        <v>0</v>
      </c>
      <c r="AO49" s="141">
        <f t="shared" si="81"/>
        <v>0</v>
      </c>
      <c r="AP49" s="141">
        <f t="shared" si="81"/>
        <v>0</v>
      </c>
      <c r="AQ49" s="141">
        <f t="shared" si="81"/>
        <v>0</v>
      </c>
      <c r="AR49" s="141">
        <f t="shared" si="81"/>
        <v>0</v>
      </c>
      <c r="AS49" s="141">
        <f t="shared" si="81"/>
        <v>0</v>
      </c>
      <c r="AT49" s="141">
        <f t="shared" si="81"/>
        <v>0</v>
      </c>
      <c r="AU49" s="141">
        <f t="shared" si="81"/>
        <v>0</v>
      </c>
      <c r="AV49" s="141">
        <f t="shared" si="81"/>
        <v>0</v>
      </c>
      <c r="AW49" s="141">
        <f t="shared" si="81"/>
        <v>0</v>
      </c>
      <c r="AX49" s="141">
        <f t="shared" si="81"/>
        <v>0</v>
      </c>
      <c r="AY49" s="141">
        <f t="shared" si="81"/>
        <v>0</v>
      </c>
      <c r="AZ49" s="141">
        <f t="shared" si="81"/>
        <v>0</v>
      </c>
      <c r="BA49" s="141">
        <f t="shared" si="81"/>
        <v>0</v>
      </c>
      <c r="BB49" s="141">
        <f t="shared" si="81"/>
        <v>0</v>
      </c>
      <c r="BC49" s="141">
        <f t="shared" si="81"/>
        <v>0</v>
      </c>
      <c r="BD49" s="141">
        <f t="shared" si="81"/>
        <v>0</v>
      </c>
      <c r="BE49" s="141">
        <f t="shared" si="81"/>
        <v>0</v>
      </c>
      <c r="BF49" s="141">
        <f t="shared" si="81"/>
        <v>0</v>
      </c>
      <c r="BG49" s="141">
        <f t="shared" si="81"/>
        <v>0</v>
      </c>
      <c r="BH49" s="141">
        <f t="shared" si="81"/>
        <v>0</v>
      </c>
      <c r="BI49" s="141">
        <f t="shared" si="81"/>
        <v>0</v>
      </c>
      <c r="BJ49" s="141">
        <f t="shared" si="81"/>
        <v>0</v>
      </c>
      <c r="BK49" s="141">
        <f t="shared" si="81"/>
        <v>0</v>
      </c>
      <c r="BL49" s="141">
        <f t="shared" si="81"/>
        <v>0</v>
      </c>
      <c r="BM49" s="141">
        <f t="shared" si="81"/>
        <v>0</v>
      </c>
      <c r="BN49" s="141">
        <f t="shared" si="81"/>
        <v>0</v>
      </c>
      <c r="BO49" s="141">
        <f t="shared" si="81"/>
        <v>0</v>
      </c>
      <c r="BP49" s="141">
        <f t="shared" si="81"/>
        <v>0</v>
      </c>
      <c r="BQ49" s="141">
        <f aca="true" t="shared" si="82" ref="BQ49:CH49">+IF(BQ44&gt;$C$35,0,BP49-BQ47)</f>
        <v>0</v>
      </c>
      <c r="BR49" s="141">
        <f t="shared" si="82"/>
        <v>0</v>
      </c>
      <c r="BS49" s="141">
        <f t="shared" si="82"/>
        <v>0</v>
      </c>
      <c r="BT49" s="141">
        <f t="shared" si="82"/>
        <v>0</v>
      </c>
      <c r="BU49" s="141">
        <f t="shared" si="82"/>
        <v>0</v>
      </c>
      <c r="BV49" s="141">
        <f t="shared" si="82"/>
        <v>0</v>
      </c>
      <c r="BW49" s="141">
        <f t="shared" si="82"/>
        <v>0</v>
      </c>
      <c r="BX49" s="141">
        <f t="shared" si="82"/>
        <v>0</v>
      </c>
      <c r="BY49" s="141">
        <f t="shared" si="82"/>
        <v>0</v>
      </c>
      <c r="BZ49" s="141">
        <f t="shared" si="82"/>
        <v>0</v>
      </c>
      <c r="CA49" s="141">
        <f t="shared" si="82"/>
        <v>0</v>
      </c>
      <c r="CB49" s="141">
        <f t="shared" si="82"/>
        <v>0</v>
      </c>
      <c r="CC49" s="141">
        <f t="shared" si="82"/>
        <v>0</v>
      </c>
      <c r="CD49" s="141">
        <f t="shared" si="82"/>
        <v>0</v>
      </c>
      <c r="CE49" s="141">
        <f t="shared" si="82"/>
        <v>0</v>
      </c>
      <c r="CF49" s="141">
        <f t="shared" si="82"/>
        <v>0</v>
      </c>
      <c r="CG49" s="141">
        <f t="shared" si="82"/>
        <v>0</v>
      </c>
      <c r="CH49" s="141">
        <f t="shared" si="82"/>
        <v>0</v>
      </c>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1"/>
      <c r="EA49" s="141"/>
      <c r="EB49" s="141"/>
      <c r="EC49" s="141"/>
      <c r="ED49" s="141"/>
      <c r="EE49" s="141"/>
      <c r="EF49" s="141"/>
      <c r="EG49" s="141"/>
      <c r="EH49" s="141"/>
      <c r="EI49" s="141"/>
      <c r="EJ49" s="141"/>
      <c r="EK49" s="141"/>
      <c r="EL49" s="141"/>
      <c r="EM49" s="141"/>
      <c r="EN49" s="141"/>
      <c r="EO49" s="141"/>
      <c r="EP49" s="141"/>
      <c r="EQ49" s="141"/>
      <c r="ER49" s="141"/>
      <c r="ES49" s="141"/>
      <c r="ET49" s="141"/>
      <c r="EU49" s="141"/>
      <c r="EV49" s="141"/>
      <c r="EW49" s="141"/>
      <c r="EX49" s="141"/>
      <c r="EY49" s="141"/>
      <c r="EZ49" s="141"/>
      <c r="FA49" s="141"/>
      <c r="FB49" s="141"/>
      <c r="FC49" s="141"/>
      <c r="FD49" s="141"/>
      <c r="FE49" s="141"/>
      <c r="FF49" s="141"/>
      <c r="FG49" s="141"/>
      <c r="FH49" s="141"/>
      <c r="FI49" s="141"/>
      <c r="FJ49" s="141"/>
      <c r="FK49" s="141"/>
      <c r="FL49" s="141"/>
      <c r="FM49" s="141"/>
      <c r="FN49" s="141"/>
      <c r="FO49" s="141"/>
      <c r="FP49" s="141"/>
      <c r="FQ49" s="141"/>
      <c r="FR49" s="141"/>
      <c r="FS49" s="141"/>
      <c r="FT49" s="141"/>
      <c r="FU49" s="141"/>
      <c r="FV49" s="141"/>
      <c r="FW49" s="141"/>
      <c r="FX49" s="141"/>
      <c r="FY49" s="141"/>
      <c r="FZ49" s="141"/>
      <c r="GA49" s="143"/>
    </row>
    <row r="50" ht="34.95" customHeight="1" hidden="1" thickBot="1"/>
    <row r="51" spans="1:184" ht="15.75" hidden="1">
      <c r="A51" s="962">
        <v>1</v>
      </c>
      <c r="B51" s="1530">
        <f>1+B29</f>
        <v>2021</v>
      </c>
      <c r="C51" s="1532"/>
      <c r="D51" s="5"/>
      <c r="E51" s="962"/>
      <c r="FZ51" s="2"/>
      <c r="GA51" s="2"/>
      <c r="GB51" s="2"/>
    </row>
    <row r="52" spans="2:184" ht="16.2" hidden="1" thickBot="1">
      <c r="B52" s="1627"/>
      <c r="C52" s="1628"/>
      <c r="D52" s="5"/>
      <c r="FZ52" s="2"/>
      <c r="GA52" s="2"/>
      <c r="GB52" s="2"/>
    </row>
    <row r="53" spans="2:184" ht="16.2" hidden="1" thickBot="1">
      <c r="B53" s="137" t="s">
        <v>139</v>
      </c>
      <c r="C53" s="1010">
        <f>+SUM('Cash Flow Statement'!Q19:AB19)</f>
        <v>0</v>
      </c>
      <c r="D53" s="2"/>
      <c r="FZ53" s="2"/>
      <c r="GA53" s="2"/>
      <c r="GB53" s="2"/>
    </row>
    <row r="54" spans="2:184" ht="15.75" hidden="1">
      <c r="B54" s="488" t="s">
        <v>140</v>
      </c>
      <c r="C54" s="727">
        <v>10</v>
      </c>
      <c r="D54" s="2"/>
      <c r="FZ54" s="2"/>
      <c r="GA54" s="2"/>
      <c r="GB54" s="2"/>
    </row>
    <row r="55" spans="2:184" ht="15.75" hidden="1">
      <c r="B55" s="488" t="s">
        <v>141</v>
      </c>
      <c r="C55" s="728">
        <v>0</v>
      </c>
      <c r="D55" s="2"/>
      <c r="FZ55" s="2"/>
      <c r="GA55" s="2"/>
      <c r="GB55" s="2"/>
    </row>
    <row r="56" spans="2:184" ht="15.75" hidden="1">
      <c r="B56" s="488" t="s">
        <v>151</v>
      </c>
      <c r="C56" s="727">
        <v>12</v>
      </c>
      <c r="D56" s="2"/>
      <c r="FZ56" s="2"/>
      <c r="GA56" s="2"/>
      <c r="GB56" s="2"/>
    </row>
    <row r="57" spans="2:184" ht="15.75" hidden="1">
      <c r="B57" s="488" t="s">
        <v>142</v>
      </c>
      <c r="C57" s="729">
        <f>C56*C54</f>
        <v>120</v>
      </c>
      <c r="D57" s="2"/>
      <c r="FZ57" s="2"/>
      <c r="GA57" s="2"/>
      <c r="GB57" s="2"/>
    </row>
    <row r="58" spans="2:184" ht="15.75" hidden="1">
      <c r="B58" s="488" t="s">
        <v>143</v>
      </c>
      <c r="C58" s="730">
        <v>0</v>
      </c>
      <c r="D58" s="2"/>
      <c r="FZ58" s="2"/>
      <c r="GA58" s="2"/>
      <c r="GB58" s="2"/>
    </row>
    <row r="59" spans="2:184" ht="15.75" hidden="1">
      <c r="B59" s="488" t="s">
        <v>144</v>
      </c>
      <c r="C59" s="1011">
        <v>0.04</v>
      </c>
      <c r="D59" s="2"/>
      <c r="FZ59" s="2"/>
      <c r="GA59" s="2"/>
      <c r="GB59" s="2"/>
    </row>
    <row r="60" spans="2:184" ht="15.75" hidden="1">
      <c r="B60" s="488" t="s">
        <v>145</v>
      </c>
      <c r="C60" s="1004">
        <f>C59+C58</f>
        <v>0.04</v>
      </c>
      <c r="D60" s="2"/>
      <c r="FZ60" s="2"/>
      <c r="GA60" s="2"/>
      <c r="GB60" s="2"/>
    </row>
    <row r="61" spans="2:184" ht="15.75" hidden="1">
      <c r="B61" s="488" t="s">
        <v>150</v>
      </c>
      <c r="C61" s="1005">
        <f>C62*C56</f>
        <v>0</v>
      </c>
      <c r="D61" s="2"/>
      <c r="FZ61" s="2"/>
      <c r="GA61" s="2"/>
      <c r="GB61" s="2"/>
    </row>
    <row r="62" spans="2:184" ht="15.75" hidden="1">
      <c r="B62" s="488" t="s">
        <v>153</v>
      </c>
      <c r="C62" s="1005">
        <f>D68</f>
        <v>0</v>
      </c>
      <c r="D62" s="2"/>
      <c r="FZ62" s="2"/>
      <c r="GA62" s="2"/>
      <c r="GB62" s="2"/>
    </row>
    <row r="63" spans="2:184" ht="16.2" hidden="1" thickBot="1">
      <c r="B63" s="234" t="s">
        <v>324</v>
      </c>
      <c r="C63" s="1006">
        <f>+AVERAGE(C70:BV70)</f>
        <v>0</v>
      </c>
      <c r="D63" s="2"/>
      <c r="FZ63" s="2"/>
      <c r="GA63" s="2"/>
      <c r="GB63" s="2"/>
    </row>
    <row r="64" ht="15.75" hidden="1"/>
    <row r="65" ht="16.2" hidden="1" thickBot="1"/>
    <row r="66" spans="2:183" ht="34.95" customHeight="1" hidden="1" thickBot="1">
      <c r="B66" s="139" t="s">
        <v>146</v>
      </c>
      <c r="C66" s="963">
        <v>1</v>
      </c>
      <c r="D66" s="964">
        <f aca="true" t="shared" si="83" ref="D66:BO66">+C66+1</f>
        <v>2</v>
      </c>
      <c r="E66" s="964">
        <f t="shared" si="83"/>
        <v>3</v>
      </c>
      <c r="F66" s="964">
        <f t="shared" si="83"/>
        <v>4</v>
      </c>
      <c r="G66" s="964">
        <f t="shared" si="83"/>
        <v>5</v>
      </c>
      <c r="H66" s="964">
        <f t="shared" si="83"/>
        <v>6</v>
      </c>
      <c r="I66" s="964">
        <f t="shared" si="83"/>
        <v>7</v>
      </c>
      <c r="J66" s="964">
        <f t="shared" si="83"/>
        <v>8</v>
      </c>
      <c r="K66" s="964">
        <f t="shared" si="83"/>
        <v>9</v>
      </c>
      <c r="L66" s="964">
        <f t="shared" si="83"/>
        <v>10</v>
      </c>
      <c r="M66" s="964">
        <f t="shared" si="83"/>
        <v>11</v>
      </c>
      <c r="N66" s="964">
        <f t="shared" si="83"/>
        <v>12</v>
      </c>
      <c r="O66" s="964">
        <f t="shared" si="83"/>
        <v>13</v>
      </c>
      <c r="P66" s="964">
        <f t="shared" si="83"/>
        <v>14</v>
      </c>
      <c r="Q66" s="964">
        <f t="shared" si="83"/>
        <v>15</v>
      </c>
      <c r="R66" s="964">
        <f t="shared" si="83"/>
        <v>16</v>
      </c>
      <c r="S66" s="964">
        <f t="shared" si="83"/>
        <v>17</v>
      </c>
      <c r="T66" s="964">
        <f t="shared" si="83"/>
        <v>18</v>
      </c>
      <c r="U66" s="964">
        <f t="shared" si="83"/>
        <v>19</v>
      </c>
      <c r="V66" s="964">
        <f t="shared" si="83"/>
        <v>20</v>
      </c>
      <c r="W66" s="964">
        <f t="shared" si="83"/>
        <v>21</v>
      </c>
      <c r="X66" s="964">
        <f t="shared" si="83"/>
        <v>22</v>
      </c>
      <c r="Y66" s="964">
        <f t="shared" si="83"/>
        <v>23</v>
      </c>
      <c r="Z66" s="964">
        <f t="shared" si="83"/>
        <v>24</v>
      </c>
      <c r="AA66" s="964">
        <f t="shared" si="83"/>
        <v>25</v>
      </c>
      <c r="AB66" s="964">
        <f t="shared" si="83"/>
        <v>26</v>
      </c>
      <c r="AC66" s="964">
        <f t="shared" si="83"/>
        <v>27</v>
      </c>
      <c r="AD66" s="964">
        <f t="shared" si="83"/>
        <v>28</v>
      </c>
      <c r="AE66" s="964">
        <f t="shared" si="83"/>
        <v>29</v>
      </c>
      <c r="AF66" s="964">
        <f t="shared" si="83"/>
        <v>30</v>
      </c>
      <c r="AG66" s="964">
        <f t="shared" si="83"/>
        <v>31</v>
      </c>
      <c r="AH66" s="964">
        <f t="shared" si="83"/>
        <v>32</v>
      </c>
      <c r="AI66" s="964">
        <f t="shared" si="83"/>
        <v>33</v>
      </c>
      <c r="AJ66" s="964">
        <f t="shared" si="83"/>
        <v>34</v>
      </c>
      <c r="AK66" s="964">
        <f t="shared" si="83"/>
        <v>35</v>
      </c>
      <c r="AL66" s="964">
        <f t="shared" si="83"/>
        <v>36</v>
      </c>
      <c r="AM66" s="964">
        <f t="shared" si="83"/>
        <v>37</v>
      </c>
      <c r="AN66" s="964">
        <f t="shared" si="83"/>
        <v>38</v>
      </c>
      <c r="AO66" s="964">
        <f t="shared" si="83"/>
        <v>39</v>
      </c>
      <c r="AP66" s="964">
        <f t="shared" si="83"/>
        <v>40</v>
      </c>
      <c r="AQ66" s="964">
        <f t="shared" si="83"/>
        <v>41</v>
      </c>
      <c r="AR66" s="964">
        <f t="shared" si="83"/>
        <v>42</v>
      </c>
      <c r="AS66" s="964">
        <f t="shared" si="83"/>
        <v>43</v>
      </c>
      <c r="AT66" s="964">
        <f t="shared" si="83"/>
        <v>44</v>
      </c>
      <c r="AU66" s="964">
        <f t="shared" si="83"/>
        <v>45</v>
      </c>
      <c r="AV66" s="964">
        <f t="shared" si="83"/>
        <v>46</v>
      </c>
      <c r="AW66" s="964">
        <f t="shared" si="83"/>
        <v>47</v>
      </c>
      <c r="AX66" s="964">
        <f t="shared" si="83"/>
        <v>48</v>
      </c>
      <c r="AY66" s="964">
        <f t="shared" si="83"/>
        <v>49</v>
      </c>
      <c r="AZ66" s="964">
        <f t="shared" si="83"/>
        <v>50</v>
      </c>
      <c r="BA66" s="964">
        <f t="shared" si="83"/>
        <v>51</v>
      </c>
      <c r="BB66" s="964">
        <f t="shared" si="83"/>
        <v>52</v>
      </c>
      <c r="BC66" s="964">
        <f t="shared" si="83"/>
        <v>53</v>
      </c>
      <c r="BD66" s="964">
        <f t="shared" si="83"/>
        <v>54</v>
      </c>
      <c r="BE66" s="964">
        <f t="shared" si="83"/>
        <v>55</v>
      </c>
      <c r="BF66" s="964">
        <f t="shared" si="83"/>
        <v>56</v>
      </c>
      <c r="BG66" s="964">
        <f t="shared" si="83"/>
        <v>57</v>
      </c>
      <c r="BH66" s="964">
        <f t="shared" si="83"/>
        <v>58</v>
      </c>
      <c r="BI66" s="964">
        <f t="shared" si="83"/>
        <v>59</v>
      </c>
      <c r="BJ66" s="964">
        <f t="shared" si="83"/>
        <v>60</v>
      </c>
      <c r="BK66" s="964">
        <f t="shared" si="83"/>
        <v>61</v>
      </c>
      <c r="BL66" s="964">
        <f t="shared" si="83"/>
        <v>62</v>
      </c>
      <c r="BM66" s="964">
        <f t="shared" si="83"/>
        <v>63</v>
      </c>
      <c r="BN66" s="964">
        <f t="shared" si="83"/>
        <v>64</v>
      </c>
      <c r="BO66" s="964">
        <f t="shared" si="83"/>
        <v>65</v>
      </c>
      <c r="BP66" s="964">
        <f aca="true" t="shared" si="84" ref="BP66:BV66">+BO66+1</f>
        <v>66</v>
      </c>
      <c r="BQ66" s="964">
        <f t="shared" si="84"/>
        <v>67</v>
      </c>
      <c r="BR66" s="964">
        <f t="shared" si="84"/>
        <v>68</v>
      </c>
      <c r="BS66" s="964">
        <f t="shared" si="84"/>
        <v>69</v>
      </c>
      <c r="BT66" s="964">
        <f t="shared" si="84"/>
        <v>70</v>
      </c>
      <c r="BU66" s="964">
        <f t="shared" si="84"/>
        <v>71</v>
      </c>
      <c r="BV66" s="964">
        <f t="shared" si="84"/>
        <v>72</v>
      </c>
      <c r="BW66" s="964"/>
      <c r="BX66" s="964"/>
      <c r="BY66" s="964"/>
      <c r="BZ66" s="964"/>
      <c r="CA66" s="964"/>
      <c r="CB66" s="964"/>
      <c r="CC66" s="964"/>
      <c r="CD66" s="964"/>
      <c r="CE66" s="964"/>
      <c r="CF66" s="964"/>
      <c r="CG66" s="964"/>
      <c r="CH66" s="964"/>
      <c r="CI66" s="964"/>
      <c r="CJ66" s="964"/>
      <c r="CK66" s="964"/>
      <c r="CL66" s="964"/>
      <c r="CM66" s="964"/>
      <c r="CN66" s="964"/>
      <c r="CO66" s="964"/>
      <c r="CP66" s="964"/>
      <c r="CQ66" s="964"/>
      <c r="CR66" s="964"/>
      <c r="CS66" s="964"/>
      <c r="CT66" s="964"/>
      <c r="CU66" s="964"/>
      <c r="CV66" s="964"/>
      <c r="CW66" s="964"/>
      <c r="CX66" s="964"/>
      <c r="CY66" s="964"/>
      <c r="CZ66" s="964"/>
      <c r="DA66" s="964"/>
      <c r="DB66" s="964"/>
      <c r="DC66" s="964"/>
      <c r="DD66" s="964"/>
      <c r="DE66" s="964"/>
      <c r="DF66" s="964"/>
      <c r="DG66" s="964"/>
      <c r="DH66" s="964"/>
      <c r="DI66" s="964"/>
      <c r="DJ66" s="964"/>
      <c r="DK66" s="964"/>
      <c r="DL66" s="964"/>
      <c r="DM66" s="964"/>
      <c r="DN66" s="964"/>
      <c r="DO66" s="964"/>
      <c r="DP66" s="964"/>
      <c r="DQ66" s="964"/>
      <c r="DR66" s="964"/>
      <c r="DS66" s="964"/>
      <c r="DT66" s="964"/>
      <c r="DU66" s="964"/>
      <c r="DV66" s="964"/>
      <c r="DW66" s="964"/>
      <c r="DX66" s="964"/>
      <c r="DY66" s="964"/>
      <c r="DZ66" s="964"/>
      <c r="EA66" s="964"/>
      <c r="EB66" s="964"/>
      <c r="EC66" s="964"/>
      <c r="ED66" s="964"/>
      <c r="EE66" s="964"/>
      <c r="EF66" s="964"/>
      <c r="EG66" s="964"/>
      <c r="EH66" s="964"/>
      <c r="EI66" s="964"/>
      <c r="EJ66" s="964"/>
      <c r="EK66" s="964"/>
      <c r="EL66" s="964"/>
      <c r="EM66" s="964"/>
      <c r="EN66" s="964"/>
      <c r="EO66" s="964"/>
      <c r="EP66" s="964"/>
      <c r="EQ66" s="964"/>
      <c r="ER66" s="964"/>
      <c r="ES66" s="964"/>
      <c r="ET66" s="964"/>
      <c r="EU66" s="964"/>
      <c r="EV66" s="964"/>
      <c r="EW66" s="964"/>
      <c r="EX66" s="964"/>
      <c r="EY66" s="964"/>
      <c r="EZ66" s="964"/>
      <c r="FA66" s="964"/>
      <c r="FB66" s="964"/>
      <c r="FC66" s="964"/>
      <c r="FD66" s="964"/>
      <c r="FE66" s="964"/>
      <c r="FF66" s="964"/>
      <c r="FG66" s="964"/>
      <c r="FH66" s="964"/>
      <c r="FI66" s="964"/>
      <c r="FJ66" s="964"/>
      <c r="FK66" s="964"/>
      <c r="FL66" s="964"/>
      <c r="FM66" s="964"/>
      <c r="FN66" s="964"/>
      <c r="FO66" s="964"/>
      <c r="FP66" s="964"/>
      <c r="FQ66" s="964"/>
      <c r="FR66" s="964"/>
      <c r="FS66" s="964"/>
      <c r="FT66" s="964"/>
      <c r="FU66" s="964"/>
      <c r="FV66" s="964"/>
      <c r="FW66" s="964"/>
      <c r="FX66" s="964"/>
      <c r="FY66" s="964"/>
      <c r="FZ66" s="964"/>
      <c r="GA66" s="965"/>
    </row>
    <row r="67" spans="2:184" ht="34.95" customHeight="1" hidden="1" thickBot="1">
      <c r="B67" s="140" t="s">
        <v>147</v>
      </c>
      <c r="C67" s="402">
        <v>44197</v>
      </c>
      <c r="D67" s="1007">
        <f>+C67+31</f>
        <v>44228</v>
      </c>
      <c r="E67" s="1007">
        <f>+D67+31</f>
        <v>44259</v>
      </c>
      <c r="F67" s="1007">
        <f aca="true" t="shared" si="85" ref="F67:BQ67">+E67+31</f>
        <v>44290</v>
      </c>
      <c r="G67" s="1007">
        <f t="shared" si="85"/>
        <v>44321</v>
      </c>
      <c r="H67" s="1007">
        <f t="shared" si="85"/>
        <v>44352</v>
      </c>
      <c r="I67" s="1007">
        <f t="shared" si="85"/>
        <v>44383</v>
      </c>
      <c r="J67" s="1007">
        <f t="shared" si="85"/>
        <v>44414</v>
      </c>
      <c r="K67" s="1007">
        <f t="shared" si="85"/>
        <v>44445</v>
      </c>
      <c r="L67" s="1007">
        <f t="shared" si="85"/>
        <v>44476</v>
      </c>
      <c r="M67" s="1007">
        <f t="shared" si="85"/>
        <v>44507</v>
      </c>
      <c r="N67" s="1007">
        <f t="shared" si="85"/>
        <v>44538</v>
      </c>
      <c r="O67" s="1007">
        <f t="shared" si="85"/>
        <v>44569</v>
      </c>
      <c r="P67" s="1007">
        <f t="shared" si="85"/>
        <v>44600</v>
      </c>
      <c r="Q67" s="1007">
        <f t="shared" si="85"/>
        <v>44631</v>
      </c>
      <c r="R67" s="1007">
        <f t="shared" si="85"/>
        <v>44662</v>
      </c>
      <c r="S67" s="1007">
        <f t="shared" si="85"/>
        <v>44693</v>
      </c>
      <c r="T67" s="1007">
        <f t="shared" si="85"/>
        <v>44724</v>
      </c>
      <c r="U67" s="1007">
        <f t="shared" si="85"/>
        <v>44755</v>
      </c>
      <c r="V67" s="1007">
        <f t="shared" si="85"/>
        <v>44786</v>
      </c>
      <c r="W67" s="1007">
        <f t="shared" si="85"/>
        <v>44817</v>
      </c>
      <c r="X67" s="1007">
        <f t="shared" si="85"/>
        <v>44848</v>
      </c>
      <c r="Y67" s="1007">
        <f t="shared" si="85"/>
        <v>44879</v>
      </c>
      <c r="Z67" s="1007">
        <f t="shared" si="85"/>
        <v>44910</v>
      </c>
      <c r="AA67" s="1007">
        <f t="shared" si="85"/>
        <v>44941</v>
      </c>
      <c r="AB67" s="1007">
        <f t="shared" si="85"/>
        <v>44972</v>
      </c>
      <c r="AC67" s="1007">
        <f t="shared" si="85"/>
        <v>45003</v>
      </c>
      <c r="AD67" s="1007">
        <f t="shared" si="85"/>
        <v>45034</v>
      </c>
      <c r="AE67" s="1007">
        <f t="shared" si="85"/>
        <v>45065</v>
      </c>
      <c r="AF67" s="1007">
        <f t="shared" si="85"/>
        <v>45096</v>
      </c>
      <c r="AG67" s="1007">
        <f t="shared" si="85"/>
        <v>45127</v>
      </c>
      <c r="AH67" s="1007">
        <f t="shared" si="85"/>
        <v>45158</v>
      </c>
      <c r="AI67" s="1007">
        <f t="shared" si="85"/>
        <v>45189</v>
      </c>
      <c r="AJ67" s="1007">
        <f t="shared" si="85"/>
        <v>45220</v>
      </c>
      <c r="AK67" s="1007">
        <f t="shared" si="85"/>
        <v>45251</v>
      </c>
      <c r="AL67" s="1007">
        <f t="shared" si="85"/>
        <v>45282</v>
      </c>
      <c r="AM67" s="1007">
        <f t="shared" si="85"/>
        <v>45313</v>
      </c>
      <c r="AN67" s="1007">
        <f t="shared" si="85"/>
        <v>45344</v>
      </c>
      <c r="AO67" s="1007">
        <f t="shared" si="85"/>
        <v>45375</v>
      </c>
      <c r="AP67" s="1007">
        <f t="shared" si="85"/>
        <v>45406</v>
      </c>
      <c r="AQ67" s="1007">
        <f t="shared" si="85"/>
        <v>45437</v>
      </c>
      <c r="AR67" s="1007">
        <f t="shared" si="85"/>
        <v>45468</v>
      </c>
      <c r="AS67" s="1007">
        <f t="shared" si="85"/>
        <v>45499</v>
      </c>
      <c r="AT67" s="1007">
        <f t="shared" si="85"/>
        <v>45530</v>
      </c>
      <c r="AU67" s="1007">
        <f t="shared" si="85"/>
        <v>45561</v>
      </c>
      <c r="AV67" s="1007">
        <f t="shared" si="85"/>
        <v>45592</v>
      </c>
      <c r="AW67" s="1007">
        <f t="shared" si="85"/>
        <v>45623</v>
      </c>
      <c r="AX67" s="1007">
        <f t="shared" si="85"/>
        <v>45654</v>
      </c>
      <c r="AY67" s="1007">
        <f t="shared" si="85"/>
        <v>45685</v>
      </c>
      <c r="AZ67" s="1007">
        <f t="shared" si="85"/>
        <v>45716</v>
      </c>
      <c r="BA67" s="1007">
        <f t="shared" si="85"/>
        <v>45747</v>
      </c>
      <c r="BB67" s="1007">
        <f>+BA67+25</f>
        <v>45772</v>
      </c>
      <c r="BC67" s="1007">
        <f t="shared" si="85"/>
        <v>45803</v>
      </c>
      <c r="BD67" s="1007">
        <f t="shared" si="85"/>
        <v>45834</v>
      </c>
      <c r="BE67" s="1007">
        <f t="shared" si="85"/>
        <v>45865</v>
      </c>
      <c r="BF67" s="1007">
        <f t="shared" si="85"/>
        <v>45896</v>
      </c>
      <c r="BG67" s="1007">
        <f t="shared" si="85"/>
        <v>45927</v>
      </c>
      <c r="BH67" s="1007">
        <f t="shared" si="85"/>
        <v>45958</v>
      </c>
      <c r="BI67" s="1007">
        <f t="shared" si="85"/>
        <v>45989</v>
      </c>
      <c r="BJ67" s="1007">
        <f t="shared" si="85"/>
        <v>46020</v>
      </c>
      <c r="BK67" s="1007">
        <f t="shared" si="85"/>
        <v>46051</v>
      </c>
      <c r="BL67" s="1007">
        <f>+BK67+25</f>
        <v>46076</v>
      </c>
      <c r="BM67" s="1007">
        <f t="shared" si="85"/>
        <v>46107</v>
      </c>
      <c r="BN67" s="1007">
        <f t="shared" si="85"/>
        <v>46138</v>
      </c>
      <c r="BO67" s="1007">
        <f t="shared" si="85"/>
        <v>46169</v>
      </c>
      <c r="BP67" s="1007">
        <f t="shared" si="85"/>
        <v>46200</v>
      </c>
      <c r="BQ67" s="1007">
        <f t="shared" si="85"/>
        <v>46231</v>
      </c>
      <c r="BR67" s="1007">
        <f aca="true" t="shared" si="86" ref="BR67:BV67">+BQ67+31</f>
        <v>46262</v>
      </c>
      <c r="BS67" s="1007">
        <f t="shared" si="86"/>
        <v>46293</v>
      </c>
      <c r="BT67" s="1007">
        <f t="shared" si="86"/>
        <v>46324</v>
      </c>
      <c r="BU67" s="1007">
        <f t="shared" si="86"/>
        <v>46355</v>
      </c>
      <c r="BV67" s="1007">
        <f t="shared" si="86"/>
        <v>46386</v>
      </c>
      <c r="BW67" s="1007"/>
      <c r="BX67" s="1007"/>
      <c r="BY67" s="1007"/>
      <c r="BZ67" s="1007"/>
      <c r="CA67" s="1007"/>
      <c r="CB67" s="1007"/>
      <c r="CC67" s="1007"/>
      <c r="CD67" s="1007"/>
      <c r="CE67" s="1007"/>
      <c r="CF67" s="1007"/>
      <c r="CG67" s="1007"/>
      <c r="CH67" s="1007"/>
      <c r="CI67" s="1007"/>
      <c r="CJ67" s="1007"/>
      <c r="CK67" s="1007"/>
      <c r="CL67" s="1007"/>
      <c r="CM67" s="1007"/>
      <c r="CN67" s="1007"/>
      <c r="CO67" s="1007"/>
      <c r="CP67" s="1007"/>
      <c r="CQ67" s="1007"/>
      <c r="CR67" s="1007"/>
      <c r="CS67" s="1007"/>
      <c r="CT67" s="1007"/>
      <c r="CU67" s="1007"/>
      <c r="CV67" s="1007"/>
      <c r="CW67" s="1007"/>
      <c r="CX67" s="1007"/>
      <c r="CY67" s="1007"/>
      <c r="CZ67" s="1007"/>
      <c r="DA67" s="1007"/>
      <c r="DB67" s="1007"/>
      <c r="DC67" s="1007"/>
      <c r="DD67" s="1007"/>
      <c r="DE67" s="1007"/>
      <c r="DF67" s="1007"/>
      <c r="DG67" s="1007"/>
      <c r="DH67" s="1007"/>
      <c r="DI67" s="1007"/>
      <c r="DJ67" s="1007"/>
      <c r="DK67" s="1007"/>
      <c r="DL67" s="1007"/>
      <c r="DM67" s="1007"/>
      <c r="DN67" s="1007"/>
      <c r="DO67" s="1007"/>
      <c r="DP67" s="1007"/>
      <c r="DQ67" s="1007"/>
      <c r="DR67" s="1007"/>
      <c r="DS67" s="1007"/>
      <c r="DT67" s="1007"/>
      <c r="DU67" s="1007"/>
      <c r="DV67" s="1007"/>
      <c r="DW67" s="1007"/>
      <c r="DX67" s="1007"/>
      <c r="DY67" s="1007"/>
      <c r="DZ67" s="1007"/>
      <c r="EA67" s="1007"/>
      <c r="EB67" s="1007"/>
      <c r="EC67" s="1007"/>
      <c r="ED67" s="1007"/>
      <c r="EE67" s="1007"/>
      <c r="EF67" s="1007"/>
      <c r="EG67" s="1007"/>
      <c r="EH67" s="1007"/>
      <c r="EI67" s="1007"/>
      <c r="EJ67" s="1007"/>
      <c r="EK67" s="1007"/>
      <c r="EL67" s="1007"/>
      <c r="EM67" s="1007"/>
      <c r="EN67" s="1007"/>
      <c r="EO67" s="1007"/>
      <c r="EP67" s="1007"/>
      <c r="EQ67" s="1007"/>
      <c r="ER67" s="1007"/>
      <c r="ES67" s="1007"/>
      <c r="ET67" s="1007"/>
      <c r="EU67" s="1007"/>
      <c r="EV67" s="1007"/>
      <c r="EW67" s="1007"/>
      <c r="EX67" s="1007"/>
      <c r="EY67" s="1007"/>
      <c r="EZ67" s="1007"/>
      <c r="FA67" s="1007"/>
      <c r="FB67" s="1007"/>
      <c r="FC67" s="1007"/>
      <c r="FD67" s="1007"/>
      <c r="FE67" s="1007"/>
      <c r="FF67" s="1007"/>
      <c r="FG67" s="1007"/>
      <c r="FH67" s="1007"/>
      <c r="FI67" s="1007"/>
      <c r="FJ67" s="1007"/>
      <c r="FK67" s="1007"/>
      <c r="FL67" s="1007"/>
      <c r="FM67" s="1007"/>
      <c r="FN67" s="1007"/>
      <c r="FO67" s="1007"/>
      <c r="FP67" s="1007"/>
      <c r="FQ67" s="1007"/>
      <c r="FR67" s="1007"/>
      <c r="FS67" s="1007"/>
      <c r="FT67" s="1007"/>
      <c r="FU67" s="1007"/>
      <c r="FV67" s="1007"/>
      <c r="FW67" s="1007"/>
      <c r="FX67" s="1007"/>
      <c r="FY67" s="1007"/>
      <c r="FZ67" s="1007"/>
      <c r="GA67" s="1008"/>
      <c r="GB67" s="1009"/>
    </row>
    <row r="68" spans="2:183" ht="34.95" customHeight="1" hidden="1" thickBot="1">
      <c r="B68" s="140" t="s">
        <v>154</v>
      </c>
      <c r="C68" s="445">
        <f>PMT($C$60/$C$56,$C$57,-$C$53)</f>
        <v>0</v>
      </c>
      <c r="D68" s="141">
        <f>IF(D66&gt;$C$57,0,PMT($C$60/$C$56,$C$57,-$C$53))</f>
        <v>0</v>
      </c>
      <c r="E68" s="141">
        <f aca="true" t="shared" si="87" ref="E68:BP68">IF(E66&gt;$C$57,0,PMT($C$60/$C$56,$C$57,-$C$53))</f>
        <v>0</v>
      </c>
      <c r="F68" s="141">
        <f t="shared" si="87"/>
        <v>0</v>
      </c>
      <c r="G68" s="141">
        <f t="shared" si="87"/>
        <v>0</v>
      </c>
      <c r="H68" s="141">
        <f t="shared" si="87"/>
        <v>0</v>
      </c>
      <c r="I68" s="141">
        <f t="shared" si="87"/>
        <v>0</v>
      </c>
      <c r="J68" s="141">
        <f t="shared" si="87"/>
        <v>0</v>
      </c>
      <c r="K68" s="141">
        <f t="shared" si="87"/>
        <v>0</v>
      </c>
      <c r="L68" s="141">
        <f t="shared" si="87"/>
        <v>0</v>
      </c>
      <c r="M68" s="141">
        <f t="shared" si="87"/>
        <v>0</v>
      </c>
      <c r="N68" s="141">
        <f t="shared" si="87"/>
        <v>0</v>
      </c>
      <c r="O68" s="141">
        <f t="shared" si="87"/>
        <v>0</v>
      </c>
      <c r="P68" s="141">
        <f t="shared" si="87"/>
        <v>0</v>
      </c>
      <c r="Q68" s="141">
        <f t="shared" si="87"/>
        <v>0</v>
      </c>
      <c r="R68" s="141">
        <f t="shared" si="87"/>
        <v>0</v>
      </c>
      <c r="S68" s="141">
        <f t="shared" si="87"/>
        <v>0</v>
      </c>
      <c r="T68" s="141">
        <f t="shared" si="87"/>
        <v>0</v>
      </c>
      <c r="U68" s="141">
        <f t="shared" si="87"/>
        <v>0</v>
      </c>
      <c r="V68" s="141">
        <f t="shared" si="87"/>
        <v>0</v>
      </c>
      <c r="W68" s="141">
        <f t="shared" si="87"/>
        <v>0</v>
      </c>
      <c r="X68" s="141">
        <f t="shared" si="87"/>
        <v>0</v>
      </c>
      <c r="Y68" s="141">
        <f t="shared" si="87"/>
        <v>0</v>
      </c>
      <c r="Z68" s="141">
        <f t="shared" si="87"/>
        <v>0</v>
      </c>
      <c r="AA68" s="141">
        <f t="shared" si="87"/>
        <v>0</v>
      </c>
      <c r="AB68" s="141">
        <f t="shared" si="87"/>
        <v>0</v>
      </c>
      <c r="AC68" s="141">
        <f t="shared" si="87"/>
        <v>0</v>
      </c>
      <c r="AD68" s="141">
        <f t="shared" si="87"/>
        <v>0</v>
      </c>
      <c r="AE68" s="141">
        <f t="shared" si="87"/>
        <v>0</v>
      </c>
      <c r="AF68" s="141">
        <f t="shared" si="87"/>
        <v>0</v>
      </c>
      <c r="AG68" s="141">
        <f t="shared" si="87"/>
        <v>0</v>
      </c>
      <c r="AH68" s="141">
        <f t="shared" si="87"/>
        <v>0</v>
      </c>
      <c r="AI68" s="141">
        <f t="shared" si="87"/>
        <v>0</v>
      </c>
      <c r="AJ68" s="141">
        <f t="shared" si="87"/>
        <v>0</v>
      </c>
      <c r="AK68" s="141">
        <f t="shared" si="87"/>
        <v>0</v>
      </c>
      <c r="AL68" s="141">
        <f t="shared" si="87"/>
        <v>0</v>
      </c>
      <c r="AM68" s="141">
        <f t="shared" si="87"/>
        <v>0</v>
      </c>
      <c r="AN68" s="141">
        <f t="shared" si="87"/>
        <v>0</v>
      </c>
      <c r="AO68" s="141">
        <f t="shared" si="87"/>
        <v>0</v>
      </c>
      <c r="AP68" s="141">
        <f t="shared" si="87"/>
        <v>0</v>
      </c>
      <c r="AQ68" s="141">
        <f t="shared" si="87"/>
        <v>0</v>
      </c>
      <c r="AR68" s="141">
        <f t="shared" si="87"/>
        <v>0</v>
      </c>
      <c r="AS68" s="141">
        <f t="shared" si="87"/>
        <v>0</v>
      </c>
      <c r="AT68" s="141">
        <f t="shared" si="87"/>
        <v>0</v>
      </c>
      <c r="AU68" s="141">
        <f t="shared" si="87"/>
        <v>0</v>
      </c>
      <c r="AV68" s="141">
        <f t="shared" si="87"/>
        <v>0</v>
      </c>
      <c r="AW68" s="141">
        <f t="shared" si="87"/>
        <v>0</v>
      </c>
      <c r="AX68" s="141">
        <f t="shared" si="87"/>
        <v>0</v>
      </c>
      <c r="AY68" s="141">
        <f t="shared" si="87"/>
        <v>0</v>
      </c>
      <c r="AZ68" s="141">
        <f t="shared" si="87"/>
        <v>0</v>
      </c>
      <c r="BA68" s="141">
        <f t="shared" si="87"/>
        <v>0</v>
      </c>
      <c r="BB68" s="141">
        <f t="shared" si="87"/>
        <v>0</v>
      </c>
      <c r="BC68" s="141">
        <f t="shared" si="87"/>
        <v>0</v>
      </c>
      <c r="BD68" s="141">
        <f t="shared" si="87"/>
        <v>0</v>
      </c>
      <c r="BE68" s="141">
        <f t="shared" si="87"/>
        <v>0</v>
      </c>
      <c r="BF68" s="141">
        <f t="shared" si="87"/>
        <v>0</v>
      </c>
      <c r="BG68" s="141">
        <f t="shared" si="87"/>
        <v>0</v>
      </c>
      <c r="BH68" s="141">
        <f t="shared" si="87"/>
        <v>0</v>
      </c>
      <c r="BI68" s="141">
        <f t="shared" si="87"/>
        <v>0</v>
      </c>
      <c r="BJ68" s="141">
        <f t="shared" si="87"/>
        <v>0</v>
      </c>
      <c r="BK68" s="141">
        <f t="shared" si="87"/>
        <v>0</v>
      </c>
      <c r="BL68" s="141">
        <f t="shared" si="87"/>
        <v>0</v>
      </c>
      <c r="BM68" s="141">
        <f t="shared" si="87"/>
        <v>0</v>
      </c>
      <c r="BN68" s="141">
        <f t="shared" si="87"/>
        <v>0</v>
      </c>
      <c r="BO68" s="141">
        <f t="shared" si="87"/>
        <v>0</v>
      </c>
      <c r="BP68" s="141">
        <f t="shared" si="87"/>
        <v>0</v>
      </c>
      <c r="BQ68" s="141">
        <f aca="true" t="shared" si="88" ref="BQ68:BV68">IF(BQ66&gt;$C$57,0,PMT($C$60/$C$56,$C$57,-$C$53))</f>
        <v>0</v>
      </c>
      <c r="BR68" s="141">
        <f t="shared" si="88"/>
        <v>0</v>
      </c>
      <c r="BS68" s="141">
        <f t="shared" si="88"/>
        <v>0</v>
      </c>
      <c r="BT68" s="141">
        <f t="shared" si="88"/>
        <v>0</v>
      </c>
      <c r="BU68" s="141">
        <f t="shared" si="88"/>
        <v>0</v>
      </c>
      <c r="BV68" s="141">
        <f t="shared" si="88"/>
        <v>0</v>
      </c>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1"/>
      <c r="FF68" s="141"/>
      <c r="FG68" s="141"/>
      <c r="FH68" s="141"/>
      <c r="FI68" s="141"/>
      <c r="FJ68" s="141"/>
      <c r="FK68" s="141"/>
      <c r="FL68" s="141"/>
      <c r="FM68" s="141"/>
      <c r="FN68" s="141"/>
      <c r="FO68" s="141"/>
      <c r="FP68" s="141"/>
      <c r="FQ68" s="141"/>
      <c r="FR68" s="141"/>
      <c r="FS68" s="141"/>
      <c r="FT68" s="141"/>
      <c r="FU68" s="141"/>
      <c r="FV68" s="141"/>
      <c r="FW68" s="141"/>
      <c r="FX68" s="141"/>
      <c r="FY68" s="141"/>
      <c r="FZ68" s="141"/>
      <c r="GA68" s="142"/>
    </row>
    <row r="69" spans="2:183" ht="34.95" customHeight="1" hidden="1" thickBot="1">
      <c r="B69" s="140" t="s">
        <v>148</v>
      </c>
      <c r="C69" s="141">
        <f>+PPMT($C$60/$C$56,C66,$C$57,-$C$53)</f>
        <v>0</v>
      </c>
      <c r="D69" s="141">
        <f>IF(D66&gt;$C$57,0,PPMT($C$60/$C$56,D66,$C$57,-$C$53))</f>
        <v>0</v>
      </c>
      <c r="E69" s="141">
        <f aca="true" t="shared" si="89" ref="E69:BP69">IF(E66&gt;$C$57,0,PPMT($C$60/$C$56,E66,$C$57,-$C$53))</f>
        <v>0</v>
      </c>
      <c r="F69" s="141">
        <f t="shared" si="89"/>
        <v>0</v>
      </c>
      <c r="G69" s="141">
        <f t="shared" si="89"/>
        <v>0</v>
      </c>
      <c r="H69" s="141">
        <f t="shared" si="89"/>
        <v>0</v>
      </c>
      <c r="I69" s="141">
        <f t="shared" si="89"/>
        <v>0</v>
      </c>
      <c r="J69" s="141">
        <f t="shared" si="89"/>
        <v>0</v>
      </c>
      <c r="K69" s="141">
        <f t="shared" si="89"/>
        <v>0</v>
      </c>
      <c r="L69" s="141">
        <f t="shared" si="89"/>
        <v>0</v>
      </c>
      <c r="M69" s="141">
        <f t="shared" si="89"/>
        <v>0</v>
      </c>
      <c r="N69" s="141">
        <f t="shared" si="89"/>
        <v>0</v>
      </c>
      <c r="O69" s="141">
        <f t="shared" si="89"/>
        <v>0</v>
      </c>
      <c r="P69" s="141">
        <f t="shared" si="89"/>
        <v>0</v>
      </c>
      <c r="Q69" s="141">
        <f t="shared" si="89"/>
        <v>0</v>
      </c>
      <c r="R69" s="141">
        <f t="shared" si="89"/>
        <v>0</v>
      </c>
      <c r="S69" s="141">
        <f t="shared" si="89"/>
        <v>0</v>
      </c>
      <c r="T69" s="141">
        <f t="shared" si="89"/>
        <v>0</v>
      </c>
      <c r="U69" s="141">
        <f t="shared" si="89"/>
        <v>0</v>
      </c>
      <c r="V69" s="141">
        <f t="shared" si="89"/>
        <v>0</v>
      </c>
      <c r="W69" s="141">
        <f t="shared" si="89"/>
        <v>0</v>
      </c>
      <c r="X69" s="141">
        <f t="shared" si="89"/>
        <v>0</v>
      </c>
      <c r="Y69" s="141">
        <f t="shared" si="89"/>
        <v>0</v>
      </c>
      <c r="Z69" s="141">
        <f t="shared" si="89"/>
        <v>0</v>
      </c>
      <c r="AA69" s="141">
        <f t="shared" si="89"/>
        <v>0</v>
      </c>
      <c r="AB69" s="141">
        <f t="shared" si="89"/>
        <v>0</v>
      </c>
      <c r="AC69" s="141">
        <f t="shared" si="89"/>
        <v>0</v>
      </c>
      <c r="AD69" s="141">
        <f t="shared" si="89"/>
        <v>0</v>
      </c>
      <c r="AE69" s="141">
        <f t="shared" si="89"/>
        <v>0</v>
      </c>
      <c r="AF69" s="141">
        <f t="shared" si="89"/>
        <v>0</v>
      </c>
      <c r="AG69" s="141">
        <f t="shared" si="89"/>
        <v>0</v>
      </c>
      <c r="AH69" s="141">
        <f t="shared" si="89"/>
        <v>0</v>
      </c>
      <c r="AI69" s="141">
        <f t="shared" si="89"/>
        <v>0</v>
      </c>
      <c r="AJ69" s="141">
        <f t="shared" si="89"/>
        <v>0</v>
      </c>
      <c r="AK69" s="141">
        <f t="shared" si="89"/>
        <v>0</v>
      </c>
      <c r="AL69" s="141">
        <f t="shared" si="89"/>
        <v>0</v>
      </c>
      <c r="AM69" s="141">
        <f t="shared" si="89"/>
        <v>0</v>
      </c>
      <c r="AN69" s="141">
        <f t="shared" si="89"/>
        <v>0</v>
      </c>
      <c r="AO69" s="141">
        <f t="shared" si="89"/>
        <v>0</v>
      </c>
      <c r="AP69" s="141">
        <f t="shared" si="89"/>
        <v>0</v>
      </c>
      <c r="AQ69" s="141">
        <f t="shared" si="89"/>
        <v>0</v>
      </c>
      <c r="AR69" s="141">
        <f t="shared" si="89"/>
        <v>0</v>
      </c>
      <c r="AS69" s="141">
        <f t="shared" si="89"/>
        <v>0</v>
      </c>
      <c r="AT69" s="141">
        <f t="shared" si="89"/>
        <v>0</v>
      </c>
      <c r="AU69" s="141">
        <f t="shared" si="89"/>
        <v>0</v>
      </c>
      <c r="AV69" s="141">
        <f t="shared" si="89"/>
        <v>0</v>
      </c>
      <c r="AW69" s="141">
        <f t="shared" si="89"/>
        <v>0</v>
      </c>
      <c r="AX69" s="141">
        <f t="shared" si="89"/>
        <v>0</v>
      </c>
      <c r="AY69" s="141">
        <f t="shared" si="89"/>
        <v>0</v>
      </c>
      <c r="AZ69" s="141">
        <f t="shared" si="89"/>
        <v>0</v>
      </c>
      <c r="BA69" s="141">
        <f t="shared" si="89"/>
        <v>0</v>
      </c>
      <c r="BB69" s="141">
        <f t="shared" si="89"/>
        <v>0</v>
      </c>
      <c r="BC69" s="141">
        <f t="shared" si="89"/>
        <v>0</v>
      </c>
      <c r="BD69" s="141">
        <f t="shared" si="89"/>
        <v>0</v>
      </c>
      <c r="BE69" s="141">
        <f t="shared" si="89"/>
        <v>0</v>
      </c>
      <c r="BF69" s="141">
        <f t="shared" si="89"/>
        <v>0</v>
      </c>
      <c r="BG69" s="141">
        <f t="shared" si="89"/>
        <v>0</v>
      </c>
      <c r="BH69" s="141">
        <f t="shared" si="89"/>
        <v>0</v>
      </c>
      <c r="BI69" s="141">
        <f t="shared" si="89"/>
        <v>0</v>
      </c>
      <c r="BJ69" s="141">
        <f t="shared" si="89"/>
        <v>0</v>
      </c>
      <c r="BK69" s="141">
        <f t="shared" si="89"/>
        <v>0</v>
      </c>
      <c r="BL69" s="141">
        <f t="shared" si="89"/>
        <v>0</v>
      </c>
      <c r="BM69" s="141">
        <f t="shared" si="89"/>
        <v>0</v>
      </c>
      <c r="BN69" s="141">
        <f t="shared" si="89"/>
        <v>0</v>
      </c>
      <c r="BO69" s="141">
        <f t="shared" si="89"/>
        <v>0</v>
      </c>
      <c r="BP69" s="141">
        <f t="shared" si="89"/>
        <v>0</v>
      </c>
      <c r="BQ69" s="141">
        <f aca="true" t="shared" si="90" ref="BQ69:BV69">IF(BQ66&gt;$C$57,0,PPMT($C$60/$C$56,BQ66,$C$57,-$C$53))</f>
        <v>0</v>
      </c>
      <c r="BR69" s="141">
        <f t="shared" si="90"/>
        <v>0</v>
      </c>
      <c r="BS69" s="141">
        <f t="shared" si="90"/>
        <v>0</v>
      </c>
      <c r="BT69" s="141">
        <f t="shared" si="90"/>
        <v>0</v>
      </c>
      <c r="BU69" s="141">
        <f t="shared" si="90"/>
        <v>0</v>
      </c>
      <c r="BV69" s="141">
        <f t="shared" si="90"/>
        <v>0</v>
      </c>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1"/>
      <c r="FF69" s="141"/>
      <c r="FG69" s="141"/>
      <c r="FH69" s="141"/>
      <c r="FI69" s="141"/>
      <c r="FJ69" s="141"/>
      <c r="FK69" s="141"/>
      <c r="FL69" s="141"/>
      <c r="FM69" s="141"/>
      <c r="FN69" s="141"/>
      <c r="FO69" s="141"/>
      <c r="FP69" s="141"/>
      <c r="FQ69" s="141"/>
      <c r="FR69" s="141"/>
      <c r="FS69" s="141"/>
      <c r="FT69" s="141"/>
      <c r="FU69" s="141"/>
      <c r="FV69" s="141"/>
      <c r="FW69" s="141"/>
      <c r="FX69" s="141"/>
      <c r="FY69" s="141"/>
      <c r="FZ69" s="141"/>
      <c r="GA69" s="142"/>
    </row>
    <row r="70" spans="2:183" ht="34.95" customHeight="1" hidden="1" thickBot="1">
      <c r="B70" s="140" t="s">
        <v>149</v>
      </c>
      <c r="C70" s="141">
        <f>IPMT($C$60/$C$56,C66,$C$57,-$C$53)</f>
        <v>0</v>
      </c>
      <c r="D70" s="141">
        <f>IF(D66&gt;$C$57,0,IPMT($C$60/$C$56,D66,$C$57,-$C$53))</f>
        <v>0</v>
      </c>
      <c r="E70" s="141">
        <f aca="true" t="shared" si="91" ref="E70:BP70">IF(E66&gt;$C$57,0,IPMT($C$60/$C$56,E66,$C$57,-$C$53))</f>
        <v>0</v>
      </c>
      <c r="F70" s="141">
        <f t="shared" si="91"/>
        <v>0</v>
      </c>
      <c r="G70" s="141">
        <f t="shared" si="91"/>
        <v>0</v>
      </c>
      <c r="H70" s="141">
        <f t="shared" si="91"/>
        <v>0</v>
      </c>
      <c r="I70" s="141">
        <f t="shared" si="91"/>
        <v>0</v>
      </c>
      <c r="J70" s="141">
        <f t="shared" si="91"/>
        <v>0</v>
      </c>
      <c r="K70" s="141">
        <f t="shared" si="91"/>
        <v>0</v>
      </c>
      <c r="L70" s="141">
        <f t="shared" si="91"/>
        <v>0</v>
      </c>
      <c r="M70" s="141">
        <f t="shared" si="91"/>
        <v>0</v>
      </c>
      <c r="N70" s="141">
        <f t="shared" si="91"/>
        <v>0</v>
      </c>
      <c r="O70" s="141">
        <f t="shared" si="91"/>
        <v>0</v>
      </c>
      <c r="P70" s="141">
        <f t="shared" si="91"/>
        <v>0</v>
      </c>
      <c r="Q70" s="141">
        <f t="shared" si="91"/>
        <v>0</v>
      </c>
      <c r="R70" s="141">
        <f t="shared" si="91"/>
        <v>0</v>
      </c>
      <c r="S70" s="141">
        <f t="shared" si="91"/>
        <v>0</v>
      </c>
      <c r="T70" s="141">
        <f t="shared" si="91"/>
        <v>0</v>
      </c>
      <c r="U70" s="141">
        <f t="shared" si="91"/>
        <v>0</v>
      </c>
      <c r="V70" s="141">
        <f t="shared" si="91"/>
        <v>0</v>
      </c>
      <c r="W70" s="141">
        <f t="shared" si="91"/>
        <v>0</v>
      </c>
      <c r="X70" s="141">
        <f t="shared" si="91"/>
        <v>0</v>
      </c>
      <c r="Y70" s="141">
        <f t="shared" si="91"/>
        <v>0</v>
      </c>
      <c r="Z70" s="141">
        <f t="shared" si="91"/>
        <v>0</v>
      </c>
      <c r="AA70" s="141">
        <f t="shared" si="91"/>
        <v>0</v>
      </c>
      <c r="AB70" s="141">
        <f t="shared" si="91"/>
        <v>0</v>
      </c>
      <c r="AC70" s="141">
        <f t="shared" si="91"/>
        <v>0</v>
      </c>
      <c r="AD70" s="141">
        <f t="shared" si="91"/>
        <v>0</v>
      </c>
      <c r="AE70" s="141">
        <f t="shared" si="91"/>
        <v>0</v>
      </c>
      <c r="AF70" s="141">
        <f t="shared" si="91"/>
        <v>0</v>
      </c>
      <c r="AG70" s="141">
        <f t="shared" si="91"/>
        <v>0</v>
      </c>
      <c r="AH70" s="141">
        <f t="shared" si="91"/>
        <v>0</v>
      </c>
      <c r="AI70" s="141">
        <f t="shared" si="91"/>
        <v>0</v>
      </c>
      <c r="AJ70" s="141">
        <f t="shared" si="91"/>
        <v>0</v>
      </c>
      <c r="AK70" s="141">
        <f t="shared" si="91"/>
        <v>0</v>
      </c>
      <c r="AL70" s="141">
        <f t="shared" si="91"/>
        <v>0</v>
      </c>
      <c r="AM70" s="141">
        <f t="shared" si="91"/>
        <v>0</v>
      </c>
      <c r="AN70" s="141">
        <f t="shared" si="91"/>
        <v>0</v>
      </c>
      <c r="AO70" s="141">
        <f t="shared" si="91"/>
        <v>0</v>
      </c>
      <c r="AP70" s="141">
        <f t="shared" si="91"/>
        <v>0</v>
      </c>
      <c r="AQ70" s="141">
        <f t="shared" si="91"/>
        <v>0</v>
      </c>
      <c r="AR70" s="141">
        <f t="shared" si="91"/>
        <v>0</v>
      </c>
      <c r="AS70" s="141">
        <f t="shared" si="91"/>
        <v>0</v>
      </c>
      <c r="AT70" s="141">
        <f t="shared" si="91"/>
        <v>0</v>
      </c>
      <c r="AU70" s="141">
        <f t="shared" si="91"/>
        <v>0</v>
      </c>
      <c r="AV70" s="141">
        <f t="shared" si="91"/>
        <v>0</v>
      </c>
      <c r="AW70" s="141">
        <f t="shared" si="91"/>
        <v>0</v>
      </c>
      <c r="AX70" s="141">
        <f t="shared" si="91"/>
        <v>0</v>
      </c>
      <c r="AY70" s="141">
        <f t="shared" si="91"/>
        <v>0</v>
      </c>
      <c r="AZ70" s="141">
        <f t="shared" si="91"/>
        <v>0</v>
      </c>
      <c r="BA70" s="141">
        <f t="shared" si="91"/>
        <v>0</v>
      </c>
      <c r="BB70" s="141">
        <f t="shared" si="91"/>
        <v>0</v>
      </c>
      <c r="BC70" s="141">
        <f t="shared" si="91"/>
        <v>0</v>
      </c>
      <c r="BD70" s="141">
        <f t="shared" si="91"/>
        <v>0</v>
      </c>
      <c r="BE70" s="141">
        <f t="shared" si="91"/>
        <v>0</v>
      </c>
      <c r="BF70" s="141">
        <f t="shared" si="91"/>
        <v>0</v>
      </c>
      <c r="BG70" s="141">
        <f t="shared" si="91"/>
        <v>0</v>
      </c>
      <c r="BH70" s="141">
        <f t="shared" si="91"/>
        <v>0</v>
      </c>
      <c r="BI70" s="141">
        <f t="shared" si="91"/>
        <v>0</v>
      </c>
      <c r="BJ70" s="141">
        <f t="shared" si="91"/>
        <v>0</v>
      </c>
      <c r="BK70" s="141">
        <f t="shared" si="91"/>
        <v>0</v>
      </c>
      <c r="BL70" s="141">
        <f t="shared" si="91"/>
        <v>0</v>
      </c>
      <c r="BM70" s="141">
        <f t="shared" si="91"/>
        <v>0</v>
      </c>
      <c r="BN70" s="141">
        <f t="shared" si="91"/>
        <v>0</v>
      </c>
      <c r="BO70" s="141">
        <f t="shared" si="91"/>
        <v>0</v>
      </c>
      <c r="BP70" s="141">
        <f t="shared" si="91"/>
        <v>0</v>
      </c>
      <c r="BQ70" s="141">
        <f aca="true" t="shared" si="92" ref="BQ70:BV70">IF(BQ66&gt;$C$57,0,IPMT($C$60/$C$56,BQ66,$C$57,-$C$53))</f>
        <v>0</v>
      </c>
      <c r="BR70" s="141">
        <f t="shared" si="92"/>
        <v>0</v>
      </c>
      <c r="BS70" s="141">
        <f t="shared" si="92"/>
        <v>0</v>
      </c>
      <c r="BT70" s="141">
        <f t="shared" si="92"/>
        <v>0</v>
      </c>
      <c r="BU70" s="141">
        <f t="shared" si="92"/>
        <v>0</v>
      </c>
      <c r="BV70" s="141">
        <f t="shared" si="92"/>
        <v>0</v>
      </c>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1"/>
      <c r="FF70" s="141"/>
      <c r="FG70" s="141"/>
      <c r="FH70" s="141"/>
      <c r="FI70" s="141"/>
      <c r="FJ70" s="141"/>
      <c r="FK70" s="141"/>
      <c r="FL70" s="141"/>
      <c r="FM70" s="141"/>
      <c r="FN70" s="141"/>
      <c r="FO70" s="141"/>
      <c r="FP70" s="141"/>
      <c r="FQ70" s="141"/>
      <c r="FR70" s="141"/>
      <c r="FS70" s="141"/>
      <c r="FT70" s="141"/>
      <c r="FU70" s="141"/>
      <c r="FV70" s="141"/>
      <c r="FW70" s="141"/>
      <c r="FX70" s="141"/>
      <c r="FY70" s="141"/>
      <c r="FZ70" s="141"/>
      <c r="GA70" s="143"/>
    </row>
    <row r="71" spans="2:183" ht="34.95" customHeight="1" hidden="1" thickBot="1">
      <c r="B71" s="144" t="s">
        <v>152</v>
      </c>
      <c r="C71" s="445">
        <f>+C53-C69</f>
        <v>0</v>
      </c>
      <c r="D71" s="141">
        <f>IF(D66&gt;$C$57,0,C71-D69)</f>
        <v>0</v>
      </c>
      <c r="E71" s="141">
        <f aca="true" t="shared" si="93" ref="E71:BP71">IF(E66&gt;$C$57,0,D71-E69)</f>
        <v>0</v>
      </c>
      <c r="F71" s="141">
        <f t="shared" si="93"/>
        <v>0</v>
      </c>
      <c r="G71" s="141">
        <f t="shared" si="93"/>
        <v>0</v>
      </c>
      <c r="H71" s="141">
        <f t="shared" si="93"/>
        <v>0</v>
      </c>
      <c r="I71" s="141">
        <f t="shared" si="93"/>
        <v>0</v>
      </c>
      <c r="J71" s="141">
        <f t="shared" si="93"/>
        <v>0</v>
      </c>
      <c r="K71" s="141">
        <f t="shared" si="93"/>
        <v>0</v>
      </c>
      <c r="L71" s="141">
        <f t="shared" si="93"/>
        <v>0</v>
      </c>
      <c r="M71" s="141">
        <f t="shared" si="93"/>
        <v>0</v>
      </c>
      <c r="N71" s="141">
        <f t="shared" si="93"/>
        <v>0</v>
      </c>
      <c r="O71" s="141">
        <f t="shared" si="93"/>
        <v>0</v>
      </c>
      <c r="P71" s="141">
        <f t="shared" si="93"/>
        <v>0</v>
      </c>
      <c r="Q71" s="141">
        <f t="shared" si="93"/>
        <v>0</v>
      </c>
      <c r="R71" s="141">
        <f t="shared" si="93"/>
        <v>0</v>
      </c>
      <c r="S71" s="141">
        <f t="shared" si="93"/>
        <v>0</v>
      </c>
      <c r="T71" s="141">
        <f t="shared" si="93"/>
        <v>0</v>
      </c>
      <c r="U71" s="141">
        <f t="shared" si="93"/>
        <v>0</v>
      </c>
      <c r="V71" s="141">
        <f t="shared" si="93"/>
        <v>0</v>
      </c>
      <c r="W71" s="141">
        <f t="shared" si="93"/>
        <v>0</v>
      </c>
      <c r="X71" s="141">
        <f t="shared" si="93"/>
        <v>0</v>
      </c>
      <c r="Y71" s="141">
        <f t="shared" si="93"/>
        <v>0</v>
      </c>
      <c r="Z71" s="141">
        <f t="shared" si="93"/>
        <v>0</v>
      </c>
      <c r="AA71" s="141">
        <f t="shared" si="93"/>
        <v>0</v>
      </c>
      <c r="AB71" s="141">
        <f t="shared" si="93"/>
        <v>0</v>
      </c>
      <c r="AC71" s="141">
        <f t="shared" si="93"/>
        <v>0</v>
      </c>
      <c r="AD71" s="141">
        <f t="shared" si="93"/>
        <v>0</v>
      </c>
      <c r="AE71" s="141">
        <f t="shared" si="93"/>
        <v>0</v>
      </c>
      <c r="AF71" s="141">
        <f t="shared" si="93"/>
        <v>0</v>
      </c>
      <c r="AG71" s="141">
        <f t="shared" si="93"/>
        <v>0</v>
      </c>
      <c r="AH71" s="141">
        <f t="shared" si="93"/>
        <v>0</v>
      </c>
      <c r="AI71" s="141">
        <f t="shared" si="93"/>
        <v>0</v>
      </c>
      <c r="AJ71" s="141">
        <f t="shared" si="93"/>
        <v>0</v>
      </c>
      <c r="AK71" s="141">
        <f t="shared" si="93"/>
        <v>0</v>
      </c>
      <c r="AL71" s="141">
        <f t="shared" si="93"/>
        <v>0</v>
      </c>
      <c r="AM71" s="141">
        <f t="shared" si="93"/>
        <v>0</v>
      </c>
      <c r="AN71" s="141">
        <f t="shared" si="93"/>
        <v>0</v>
      </c>
      <c r="AO71" s="141">
        <f t="shared" si="93"/>
        <v>0</v>
      </c>
      <c r="AP71" s="141">
        <f t="shared" si="93"/>
        <v>0</v>
      </c>
      <c r="AQ71" s="141">
        <f t="shared" si="93"/>
        <v>0</v>
      </c>
      <c r="AR71" s="141">
        <f t="shared" si="93"/>
        <v>0</v>
      </c>
      <c r="AS71" s="141">
        <f t="shared" si="93"/>
        <v>0</v>
      </c>
      <c r="AT71" s="141">
        <f t="shared" si="93"/>
        <v>0</v>
      </c>
      <c r="AU71" s="141">
        <f t="shared" si="93"/>
        <v>0</v>
      </c>
      <c r="AV71" s="141">
        <f t="shared" si="93"/>
        <v>0</v>
      </c>
      <c r="AW71" s="141">
        <f t="shared" si="93"/>
        <v>0</v>
      </c>
      <c r="AX71" s="141">
        <f t="shared" si="93"/>
        <v>0</v>
      </c>
      <c r="AY71" s="141">
        <f t="shared" si="93"/>
        <v>0</v>
      </c>
      <c r="AZ71" s="141">
        <f t="shared" si="93"/>
        <v>0</v>
      </c>
      <c r="BA71" s="141">
        <f t="shared" si="93"/>
        <v>0</v>
      </c>
      <c r="BB71" s="141">
        <f t="shared" si="93"/>
        <v>0</v>
      </c>
      <c r="BC71" s="141">
        <f t="shared" si="93"/>
        <v>0</v>
      </c>
      <c r="BD71" s="141">
        <f t="shared" si="93"/>
        <v>0</v>
      </c>
      <c r="BE71" s="141">
        <f t="shared" si="93"/>
        <v>0</v>
      </c>
      <c r="BF71" s="141">
        <f t="shared" si="93"/>
        <v>0</v>
      </c>
      <c r="BG71" s="141">
        <f t="shared" si="93"/>
        <v>0</v>
      </c>
      <c r="BH71" s="141">
        <f t="shared" si="93"/>
        <v>0</v>
      </c>
      <c r="BI71" s="141">
        <f t="shared" si="93"/>
        <v>0</v>
      </c>
      <c r="BJ71" s="141">
        <f t="shared" si="93"/>
        <v>0</v>
      </c>
      <c r="BK71" s="141">
        <f t="shared" si="93"/>
        <v>0</v>
      </c>
      <c r="BL71" s="141">
        <f t="shared" si="93"/>
        <v>0</v>
      </c>
      <c r="BM71" s="141">
        <f t="shared" si="93"/>
        <v>0</v>
      </c>
      <c r="BN71" s="141">
        <f t="shared" si="93"/>
        <v>0</v>
      </c>
      <c r="BO71" s="141">
        <f t="shared" si="93"/>
        <v>0</v>
      </c>
      <c r="BP71" s="141">
        <f t="shared" si="93"/>
        <v>0</v>
      </c>
      <c r="BQ71" s="141">
        <f aca="true" t="shared" si="94" ref="BQ71:BV71">IF(BQ66&gt;$C$57,0,BP71-BQ69)</f>
        <v>0</v>
      </c>
      <c r="BR71" s="141">
        <f t="shared" si="94"/>
        <v>0</v>
      </c>
      <c r="BS71" s="141">
        <f t="shared" si="94"/>
        <v>0</v>
      </c>
      <c r="BT71" s="141">
        <f t="shared" si="94"/>
        <v>0</v>
      </c>
      <c r="BU71" s="141">
        <f t="shared" si="94"/>
        <v>0</v>
      </c>
      <c r="BV71" s="141">
        <f t="shared" si="94"/>
        <v>0</v>
      </c>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1"/>
      <c r="FF71" s="141"/>
      <c r="FG71" s="141"/>
      <c r="FH71" s="141"/>
      <c r="FI71" s="141"/>
      <c r="FJ71" s="141"/>
      <c r="FK71" s="141"/>
      <c r="FL71" s="141"/>
      <c r="FM71" s="141"/>
      <c r="FN71" s="141"/>
      <c r="FO71" s="141"/>
      <c r="FP71" s="141"/>
      <c r="FQ71" s="141"/>
      <c r="FR71" s="141"/>
      <c r="FS71" s="141"/>
      <c r="FT71" s="141"/>
      <c r="FU71" s="141"/>
      <c r="FV71" s="141"/>
      <c r="FW71" s="141"/>
      <c r="FX71" s="141"/>
      <c r="FY71" s="141"/>
      <c r="FZ71" s="141"/>
      <c r="GA71" s="143"/>
    </row>
    <row r="72" ht="34.05" customHeight="1" hidden="1" thickBot="1"/>
    <row r="73" spans="1:184" ht="15.75" hidden="1">
      <c r="A73" s="962">
        <v>1</v>
      </c>
      <c r="B73" s="1530">
        <f>1+B51</f>
        <v>2022</v>
      </c>
      <c r="C73" s="1532"/>
      <c r="D73" s="5"/>
      <c r="E73" s="962"/>
      <c r="FZ73" s="2"/>
      <c r="GA73" s="2"/>
      <c r="GB73" s="2"/>
    </row>
    <row r="74" spans="2:184" ht="16.2" hidden="1" thickBot="1">
      <c r="B74" s="1627"/>
      <c r="C74" s="1628"/>
      <c r="D74" s="5"/>
      <c r="FZ74" s="2"/>
      <c r="GA74" s="2"/>
      <c r="GB74" s="2"/>
    </row>
    <row r="75" spans="2:184" ht="16.2" hidden="1" thickBot="1">
      <c r="B75" s="137" t="s">
        <v>139</v>
      </c>
      <c r="C75" s="1010">
        <f>SUM('Cash Flow Statement'!AC19:AN19)</f>
        <v>0</v>
      </c>
      <c r="D75" s="2"/>
      <c r="FZ75" s="2"/>
      <c r="GA75" s="2"/>
      <c r="GB75" s="2"/>
    </row>
    <row r="76" spans="2:184" ht="15.75" hidden="1">
      <c r="B76" s="488" t="s">
        <v>140</v>
      </c>
      <c r="C76" s="727">
        <v>10</v>
      </c>
      <c r="D76" s="2"/>
      <c r="FZ76" s="2"/>
      <c r="GA76" s="2"/>
      <c r="GB76" s="2"/>
    </row>
    <row r="77" spans="2:184" ht="15.75" hidden="1">
      <c r="B77" s="488" t="s">
        <v>141</v>
      </c>
      <c r="C77" s="728">
        <v>0</v>
      </c>
      <c r="D77" s="2"/>
      <c r="FZ77" s="2"/>
      <c r="GA77" s="2"/>
      <c r="GB77" s="2"/>
    </row>
    <row r="78" spans="2:184" ht="15.75" hidden="1">
      <c r="B78" s="488" t="s">
        <v>151</v>
      </c>
      <c r="C78" s="727">
        <v>12</v>
      </c>
      <c r="D78" s="2"/>
      <c r="FZ78" s="2"/>
      <c r="GA78" s="2"/>
      <c r="GB78" s="2"/>
    </row>
    <row r="79" spans="2:184" ht="15.75" hidden="1">
      <c r="B79" s="488" t="s">
        <v>142</v>
      </c>
      <c r="C79" s="729">
        <f>C78*C76</f>
        <v>120</v>
      </c>
      <c r="D79" s="2"/>
      <c r="FZ79" s="2"/>
      <c r="GA79" s="2"/>
      <c r="GB79" s="2"/>
    </row>
    <row r="80" spans="2:184" ht="15.75" hidden="1">
      <c r="B80" s="488" t="s">
        <v>143</v>
      </c>
      <c r="C80" s="730">
        <v>0</v>
      </c>
      <c r="D80" s="2"/>
      <c r="FZ80" s="2"/>
      <c r="GA80" s="2"/>
      <c r="GB80" s="2"/>
    </row>
    <row r="81" spans="2:184" ht="15.75" hidden="1">
      <c r="B81" s="488" t="s">
        <v>144</v>
      </c>
      <c r="C81" s="1011">
        <v>0.05</v>
      </c>
      <c r="D81" s="2"/>
      <c r="FZ81" s="2"/>
      <c r="GA81" s="2"/>
      <c r="GB81" s="2"/>
    </row>
    <row r="82" spans="2:184" ht="15.75" hidden="1">
      <c r="B82" s="488" t="s">
        <v>145</v>
      </c>
      <c r="C82" s="1004">
        <f>C81+C80</f>
        <v>0.05</v>
      </c>
      <c r="D82" s="2"/>
      <c r="FZ82" s="2"/>
      <c r="GA82" s="2"/>
      <c r="GB82" s="2"/>
    </row>
    <row r="83" spans="2:184" ht="15.75" hidden="1">
      <c r="B83" s="488" t="s">
        <v>150</v>
      </c>
      <c r="C83" s="1005">
        <f>C84*C78</f>
        <v>0</v>
      </c>
      <c r="D83" s="2"/>
      <c r="FZ83" s="2"/>
      <c r="GA83" s="2"/>
      <c r="GB83" s="2"/>
    </row>
    <row r="84" spans="2:184" ht="15.75" hidden="1">
      <c r="B84" s="488" t="s">
        <v>153</v>
      </c>
      <c r="C84" s="1005">
        <f>D90</f>
        <v>0</v>
      </c>
      <c r="D84" s="2"/>
      <c r="FZ84" s="2"/>
      <c r="GA84" s="2"/>
      <c r="GB84" s="2"/>
    </row>
    <row r="85" spans="2:184" ht="16.2" hidden="1" thickBot="1">
      <c r="B85" s="234" t="s">
        <v>324</v>
      </c>
      <c r="C85" s="1006">
        <f>+AVERAGE(C92:BV92)</f>
        <v>0</v>
      </c>
      <c r="D85" s="2"/>
      <c r="FZ85" s="2"/>
      <c r="GA85" s="2"/>
      <c r="GB85" s="2"/>
    </row>
    <row r="86" ht="15.75" hidden="1">
      <c r="C86" s="723"/>
    </row>
    <row r="87" ht="16.2" hidden="1" thickBot="1">
      <c r="C87" s="723"/>
    </row>
    <row r="88" spans="2:183" ht="34.95" customHeight="1" hidden="1" thickBot="1">
      <c r="B88" s="139" t="s">
        <v>146</v>
      </c>
      <c r="C88" s="963">
        <v>1</v>
      </c>
      <c r="D88" s="964">
        <f aca="true" t="shared" si="95" ref="D88:BJ88">+C88+1</f>
        <v>2</v>
      </c>
      <c r="E88" s="964">
        <f t="shared" si="95"/>
        <v>3</v>
      </c>
      <c r="F88" s="964">
        <f t="shared" si="95"/>
        <v>4</v>
      </c>
      <c r="G88" s="964">
        <f t="shared" si="95"/>
        <v>5</v>
      </c>
      <c r="H88" s="964">
        <f t="shared" si="95"/>
        <v>6</v>
      </c>
      <c r="I88" s="964">
        <f t="shared" si="95"/>
        <v>7</v>
      </c>
      <c r="J88" s="964">
        <f t="shared" si="95"/>
        <v>8</v>
      </c>
      <c r="K88" s="964">
        <f t="shared" si="95"/>
        <v>9</v>
      </c>
      <c r="L88" s="964">
        <f t="shared" si="95"/>
        <v>10</v>
      </c>
      <c r="M88" s="964">
        <f t="shared" si="95"/>
        <v>11</v>
      </c>
      <c r="N88" s="964">
        <f t="shared" si="95"/>
        <v>12</v>
      </c>
      <c r="O88" s="964">
        <f t="shared" si="95"/>
        <v>13</v>
      </c>
      <c r="P88" s="964">
        <f t="shared" si="95"/>
        <v>14</v>
      </c>
      <c r="Q88" s="964">
        <f t="shared" si="95"/>
        <v>15</v>
      </c>
      <c r="R88" s="964">
        <f t="shared" si="95"/>
        <v>16</v>
      </c>
      <c r="S88" s="964">
        <f t="shared" si="95"/>
        <v>17</v>
      </c>
      <c r="T88" s="964">
        <f t="shared" si="95"/>
        <v>18</v>
      </c>
      <c r="U88" s="964">
        <f t="shared" si="95"/>
        <v>19</v>
      </c>
      <c r="V88" s="964">
        <f t="shared" si="95"/>
        <v>20</v>
      </c>
      <c r="W88" s="964">
        <f t="shared" si="95"/>
        <v>21</v>
      </c>
      <c r="X88" s="964">
        <f t="shared" si="95"/>
        <v>22</v>
      </c>
      <c r="Y88" s="964">
        <f t="shared" si="95"/>
        <v>23</v>
      </c>
      <c r="Z88" s="964">
        <f t="shared" si="95"/>
        <v>24</v>
      </c>
      <c r="AA88" s="964">
        <f t="shared" si="95"/>
        <v>25</v>
      </c>
      <c r="AB88" s="964">
        <f t="shared" si="95"/>
        <v>26</v>
      </c>
      <c r="AC88" s="964">
        <f t="shared" si="95"/>
        <v>27</v>
      </c>
      <c r="AD88" s="964">
        <f t="shared" si="95"/>
        <v>28</v>
      </c>
      <c r="AE88" s="964">
        <f t="shared" si="95"/>
        <v>29</v>
      </c>
      <c r="AF88" s="964">
        <f t="shared" si="95"/>
        <v>30</v>
      </c>
      <c r="AG88" s="964">
        <f t="shared" si="95"/>
        <v>31</v>
      </c>
      <c r="AH88" s="964">
        <f t="shared" si="95"/>
        <v>32</v>
      </c>
      <c r="AI88" s="964">
        <f t="shared" si="95"/>
        <v>33</v>
      </c>
      <c r="AJ88" s="964">
        <f t="shared" si="95"/>
        <v>34</v>
      </c>
      <c r="AK88" s="964">
        <f t="shared" si="95"/>
        <v>35</v>
      </c>
      <c r="AL88" s="964">
        <f t="shared" si="95"/>
        <v>36</v>
      </c>
      <c r="AM88" s="964">
        <f t="shared" si="95"/>
        <v>37</v>
      </c>
      <c r="AN88" s="964">
        <f t="shared" si="95"/>
        <v>38</v>
      </c>
      <c r="AO88" s="964">
        <f t="shared" si="95"/>
        <v>39</v>
      </c>
      <c r="AP88" s="964">
        <f t="shared" si="95"/>
        <v>40</v>
      </c>
      <c r="AQ88" s="964">
        <f t="shared" si="95"/>
        <v>41</v>
      </c>
      <c r="AR88" s="964">
        <f t="shared" si="95"/>
        <v>42</v>
      </c>
      <c r="AS88" s="964">
        <f t="shared" si="95"/>
        <v>43</v>
      </c>
      <c r="AT88" s="964">
        <f t="shared" si="95"/>
        <v>44</v>
      </c>
      <c r="AU88" s="964">
        <f t="shared" si="95"/>
        <v>45</v>
      </c>
      <c r="AV88" s="964">
        <f t="shared" si="95"/>
        <v>46</v>
      </c>
      <c r="AW88" s="964">
        <f t="shared" si="95"/>
        <v>47</v>
      </c>
      <c r="AX88" s="964">
        <f t="shared" si="95"/>
        <v>48</v>
      </c>
      <c r="AY88" s="964">
        <f t="shared" si="95"/>
        <v>49</v>
      </c>
      <c r="AZ88" s="964">
        <f t="shared" si="95"/>
        <v>50</v>
      </c>
      <c r="BA88" s="964">
        <f t="shared" si="95"/>
        <v>51</v>
      </c>
      <c r="BB88" s="964">
        <f t="shared" si="95"/>
        <v>52</v>
      </c>
      <c r="BC88" s="964">
        <f t="shared" si="95"/>
        <v>53</v>
      </c>
      <c r="BD88" s="964">
        <f t="shared" si="95"/>
        <v>54</v>
      </c>
      <c r="BE88" s="964">
        <f t="shared" si="95"/>
        <v>55</v>
      </c>
      <c r="BF88" s="964">
        <f t="shared" si="95"/>
        <v>56</v>
      </c>
      <c r="BG88" s="964">
        <f t="shared" si="95"/>
        <v>57</v>
      </c>
      <c r="BH88" s="964">
        <f t="shared" si="95"/>
        <v>58</v>
      </c>
      <c r="BI88" s="964">
        <f t="shared" si="95"/>
        <v>59</v>
      </c>
      <c r="BJ88" s="964">
        <f t="shared" si="95"/>
        <v>60</v>
      </c>
      <c r="BK88" s="964"/>
      <c r="BL88" s="964"/>
      <c r="BM88" s="964"/>
      <c r="BN88" s="964"/>
      <c r="BO88" s="964"/>
      <c r="BP88" s="964"/>
      <c r="BQ88" s="964"/>
      <c r="BR88" s="964"/>
      <c r="BS88" s="964"/>
      <c r="BT88" s="964"/>
      <c r="BU88" s="964"/>
      <c r="BV88" s="964"/>
      <c r="BW88" s="964"/>
      <c r="BX88" s="964"/>
      <c r="BY88" s="964"/>
      <c r="BZ88" s="964"/>
      <c r="CA88" s="964"/>
      <c r="CB88" s="964"/>
      <c r="CC88" s="964"/>
      <c r="CD88" s="964"/>
      <c r="CE88" s="964"/>
      <c r="CF88" s="964"/>
      <c r="CG88" s="964"/>
      <c r="CH88" s="964"/>
      <c r="CI88" s="964"/>
      <c r="CJ88" s="964"/>
      <c r="CK88" s="964"/>
      <c r="CL88" s="964"/>
      <c r="CM88" s="964"/>
      <c r="CN88" s="964"/>
      <c r="CO88" s="964"/>
      <c r="CP88" s="964"/>
      <c r="CQ88" s="964"/>
      <c r="CR88" s="964"/>
      <c r="CS88" s="964"/>
      <c r="CT88" s="964"/>
      <c r="CU88" s="964"/>
      <c r="CV88" s="964"/>
      <c r="CW88" s="964"/>
      <c r="CX88" s="964"/>
      <c r="CY88" s="964"/>
      <c r="CZ88" s="964"/>
      <c r="DA88" s="964"/>
      <c r="DB88" s="964"/>
      <c r="DC88" s="964"/>
      <c r="DD88" s="964"/>
      <c r="DE88" s="964"/>
      <c r="DF88" s="964"/>
      <c r="DG88" s="964"/>
      <c r="DH88" s="964"/>
      <c r="DI88" s="964"/>
      <c r="DJ88" s="964"/>
      <c r="DK88" s="964"/>
      <c r="DL88" s="964"/>
      <c r="DM88" s="964"/>
      <c r="DN88" s="964"/>
      <c r="DO88" s="964"/>
      <c r="DP88" s="964"/>
      <c r="DQ88" s="964"/>
      <c r="DR88" s="964"/>
      <c r="DS88" s="964"/>
      <c r="DT88" s="964"/>
      <c r="DU88" s="964"/>
      <c r="DV88" s="964"/>
      <c r="DW88" s="964"/>
      <c r="DX88" s="964"/>
      <c r="DY88" s="964"/>
      <c r="DZ88" s="964"/>
      <c r="EA88" s="964"/>
      <c r="EB88" s="964"/>
      <c r="EC88" s="964"/>
      <c r="ED88" s="964"/>
      <c r="EE88" s="964"/>
      <c r="EF88" s="964"/>
      <c r="EG88" s="964"/>
      <c r="EH88" s="964"/>
      <c r="EI88" s="964"/>
      <c r="EJ88" s="964"/>
      <c r="EK88" s="964"/>
      <c r="EL88" s="964"/>
      <c r="EM88" s="964"/>
      <c r="EN88" s="964"/>
      <c r="EO88" s="964"/>
      <c r="EP88" s="964"/>
      <c r="EQ88" s="964"/>
      <c r="ER88" s="964"/>
      <c r="ES88" s="964"/>
      <c r="ET88" s="964"/>
      <c r="EU88" s="964"/>
      <c r="EV88" s="964"/>
      <c r="EW88" s="964"/>
      <c r="EX88" s="964"/>
      <c r="EY88" s="964"/>
      <c r="EZ88" s="964"/>
      <c r="FA88" s="964"/>
      <c r="FB88" s="964"/>
      <c r="FC88" s="964"/>
      <c r="FD88" s="964"/>
      <c r="FE88" s="964"/>
      <c r="FF88" s="964"/>
      <c r="FG88" s="964"/>
      <c r="FH88" s="964"/>
      <c r="FI88" s="964"/>
      <c r="FJ88" s="964"/>
      <c r="FK88" s="964"/>
      <c r="FL88" s="964"/>
      <c r="FM88" s="964"/>
      <c r="FN88" s="964"/>
      <c r="FO88" s="964"/>
      <c r="FP88" s="964"/>
      <c r="FQ88" s="964"/>
      <c r="FR88" s="964"/>
      <c r="FS88" s="964"/>
      <c r="FT88" s="964"/>
      <c r="FU88" s="964"/>
      <c r="FV88" s="964"/>
      <c r="FW88" s="964"/>
      <c r="FX88" s="964"/>
      <c r="FY88" s="964"/>
      <c r="FZ88" s="964"/>
      <c r="GA88" s="965"/>
    </row>
    <row r="89" spans="2:184" ht="34.95" customHeight="1" hidden="1" thickBot="1">
      <c r="B89" s="140" t="s">
        <v>147</v>
      </c>
      <c r="C89" s="402">
        <v>44562</v>
      </c>
      <c r="D89" s="1007">
        <f>+C89+31</f>
        <v>44593</v>
      </c>
      <c r="E89" s="1007">
        <f>+D89+31</f>
        <v>44624</v>
      </c>
      <c r="F89" s="1007">
        <f aca="true" t="shared" si="96" ref="F89:BJ89">+E89+31</f>
        <v>44655</v>
      </c>
      <c r="G89" s="1007">
        <f t="shared" si="96"/>
        <v>44686</v>
      </c>
      <c r="H89" s="1007">
        <f t="shared" si="96"/>
        <v>44717</v>
      </c>
      <c r="I89" s="1007">
        <f t="shared" si="96"/>
        <v>44748</v>
      </c>
      <c r="J89" s="1007">
        <f t="shared" si="96"/>
        <v>44779</v>
      </c>
      <c r="K89" s="1007">
        <f t="shared" si="96"/>
        <v>44810</v>
      </c>
      <c r="L89" s="1007">
        <f t="shared" si="96"/>
        <v>44841</v>
      </c>
      <c r="M89" s="1007">
        <f t="shared" si="96"/>
        <v>44872</v>
      </c>
      <c r="N89" s="1007">
        <f t="shared" si="96"/>
        <v>44903</v>
      </c>
      <c r="O89" s="1007">
        <f t="shared" si="96"/>
        <v>44934</v>
      </c>
      <c r="P89" s="1007">
        <f t="shared" si="96"/>
        <v>44965</v>
      </c>
      <c r="Q89" s="1007">
        <f t="shared" si="96"/>
        <v>44996</v>
      </c>
      <c r="R89" s="1007">
        <f t="shared" si="96"/>
        <v>45027</v>
      </c>
      <c r="S89" s="1007">
        <f t="shared" si="96"/>
        <v>45058</v>
      </c>
      <c r="T89" s="1007">
        <f t="shared" si="96"/>
        <v>45089</v>
      </c>
      <c r="U89" s="1007">
        <f t="shared" si="96"/>
        <v>45120</v>
      </c>
      <c r="V89" s="1007">
        <f t="shared" si="96"/>
        <v>45151</v>
      </c>
      <c r="W89" s="1007">
        <f t="shared" si="96"/>
        <v>45182</v>
      </c>
      <c r="X89" s="1007">
        <f t="shared" si="96"/>
        <v>45213</v>
      </c>
      <c r="Y89" s="1007">
        <f t="shared" si="96"/>
        <v>45244</v>
      </c>
      <c r="Z89" s="1007">
        <f t="shared" si="96"/>
        <v>45275</v>
      </c>
      <c r="AA89" s="1007">
        <f t="shared" si="96"/>
        <v>45306</v>
      </c>
      <c r="AB89" s="1007">
        <f t="shared" si="96"/>
        <v>45337</v>
      </c>
      <c r="AC89" s="1007">
        <f t="shared" si="96"/>
        <v>45368</v>
      </c>
      <c r="AD89" s="1007">
        <f t="shared" si="96"/>
        <v>45399</v>
      </c>
      <c r="AE89" s="1007">
        <f t="shared" si="96"/>
        <v>45430</v>
      </c>
      <c r="AF89" s="1007">
        <f t="shared" si="96"/>
        <v>45461</v>
      </c>
      <c r="AG89" s="1007">
        <f t="shared" si="96"/>
        <v>45492</v>
      </c>
      <c r="AH89" s="1007">
        <f t="shared" si="96"/>
        <v>45523</v>
      </c>
      <c r="AI89" s="1007">
        <f t="shared" si="96"/>
        <v>45554</v>
      </c>
      <c r="AJ89" s="1007">
        <f t="shared" si="96"/>
        <v>45585</v>
      </c>
      <c r="AK89" s="1007">
        <f t="shared" si="96"/>
        <v>45616</v>
      </c>
      <c r="AL89" s="1007">
        <f t="shared" si="96"/>
        <v>45647</v>
      </c>
      <c r="AM89" s="1007">
        <f t="shared" si="96"/>
        <v>45678</v>
      </c>
      <c r="AN89" s="1007">
        <f t="shared" si="96"/>
        <v>45709</v>
      </c>
      <c r="AO89" s="1007">
        <f t="shared" si="96"/>
        <v>45740</v>
      </c>
      <c r="AP89" s="1007">
        <f t="shared" si="96"/>
        <v>45771</v>
      </c>
      <c r="AQ89" s="1007">
        <f t="shared" si="96"/>
        <v>45802</v>
      </c>
      <c r="AR89" s="1007">
        <f t="shared" si="96"/>
        <v>45833</v>
      </c>
      <c r="AS89" s="1007">
        <f t="shared" si="96"/>
        <v>45864</v>
      </c>
      <c r="AT89" s="1007">
        <f t="shared" si="96"/>
        <v>45895</v>
      </c>
      <c r="AU89" s="1007">
        <f t="shared" si="96"/>
        <v>45926</v>
      </c>
      <c r="AV89" s="1007">
        <f t="shared" si="96"/>
        <v>45957</v>
      </c>
      <c r="AW89" s="1007">
        <f t="shared" si="96"/>
        <v>45988</v>
      </c>
      <c r="AX89" s="1007">
        <f t="shared" si="96"/>
        <v>46019</v>
      </c>
      <c r="AY89" s="1007">
        <f t="shared" si="96"/>
        <v>46050</v>
      </c>
      <c r="AZ89" s="1007">
        <f t="shared" si="96"/>
        <v>46081</v>
      </c>
      <c r="BA89" s="1007">
        <f t="shared" si="96"/>
        <v>46112</v>
      </c>
      <c r="BB89" s="1007">
        <f>+BA89+25</f>
        <v>46137</v>
      </c>
      <c r="BC89" s="1007">
        <f t="shared" si="96"/>
        <v>46168</v>
      </c>
      <c r="BD89" s="1007">
        <f t="shared" si="96"/>
        <v>46199</v>
      </c>
      <c r="BE89" s="1007">
        <f t="shared" si="96"/>
        <v>46230</v>
      </c>
      <c r="BF89" s="1007">
        <f t="shared" si="96"/>
        <v>46261</v>
      </c>
      <c r="BG89" s="1007">
        <f t="shared" si="96"/>
        <v>46292</v>
      </c>
      <c r="BH89" s="1007">
        <f t="shared" si="96"/>
        <v>46323</v>
      </c>
      <c r="BI89" s="1007">
        <f t="shared" si="96"/>
        <v>46354</v>
      </c>
      <c r="BJ89" s="1007">
        <f t="shared" si="96"/>
        <v>46385</v>
      </c>
      <c r="BK89" s="1007"/>
      <c r="BL89" s="1007"/>
      <c r="BM89" s="1007"/>
      <c r="BN89" s="1007"/>
      <c r="BO89" s="1007"/>
      <c r="BP89" s="1007"/>
      <c r="BQ89" s="1007"/>
      <c r="BR89" s="1007"/>
      <c r="BS89" s="1007"/>
      <c r="BT89" s="1007"/>
      <c r="BU89" s="1007"/>
      <c r="BV89" s="1007"/>
      <c r="BW89" s="1007"/>
      <c r="BX89" s="1007"/>
      <c r="BY89" s="1007"/>
      <c r="BZ89" s="1007"/>
      <c r="CA89" s="1007"/>
      <c r="CB89" s="1007"/>
      <c r="CC89" s="1007"/>
      <c r="CD89" s="1007"/>
      <c r="CE89" s="1007"/>
      <c r="CF89" s="1007"/>
      <c r="CG89" s="1007"/>
      <c r="CH89" s="1007"/>
      <c r="CI89" s="1007"/>
      <c r="CJ89" s="1007"/>
      <c r="CK89" s="1007"/>
      <c r="CL89" s="1007"/>
      <c r="CM89" s="1007"/>
      <c r="CN89" s="1007"/>
      <c r="CO89" s="1007"/>
      <c r="CP89" s="1007"/>
      <c r="CQ89" s="1007"/>
      <c r="CR89" s="1007"/>
      <c r="CS89" s="1007"/>
      <c r="CT89" s="1007"/>
      <c r="CU89" s="1007"/>
      <c r="CV89" s="1007"/>
      <c r="CW89" s="1007"/>
      <c r="CX89" s="1007"/>
      <c r="CY89" s="1007"/>
      <c r="CZ89" s="1007"/>
      <c r="DA89" s="1007"/>
      <c r="DB89" s="1007"/>
      <c r="DC89" s="1007"/>
      <c r="DD89" s="1007"/>
      <c r="DE89" s="1007"/>
      <c r="DF89" s="1007"/>
      <c r="DG89" s="1007"/>
      <c r="DH89" s="1007"/>
      <c r="DI89" s="1007"/>
      <c r="DJ89" s="1007"/>
      <c r="DK89" s="1007"/>
      <c r="DL89" s="1007"/>
      <c r="DM89" s="1007"/>
      <c r="DN89" s="1007"/>
      <c r="DO89" s="1007"/>
      <c r="DP89" s="1007"/>
      <c r="DQ89" s="1007"/>
      <c r="DR89" s="1007"/>
      <c r="DS89" s="1007"/>
      <c r="DT89" s="1007"/>
      <c r="DU89" s="1007"/>
      <c r="DV89" s="1007"/>
      <c r="DW89" s="1007"/>
      <c r="DX89" s="1007"/>
      <c r="DY89" s="1007"/>
      <c r="DZ89" s="1007"/>
      <c r="EA89" s="1007"/>
      <c r="EB89" s="1007"/>
      <c r="EC89" s="1007"/>
      <c r="ED89" s="1007"/>
      <c r="EE89" s="1007"/>
      <c r="EF89" s="1007"/>
      <c r="EG89" s="1007"/>
      <c r="EH89" s="1007"/>
      <c r="EI89" s="1007"/>
      <c r="EJ89" s="1007"/>
      <c r="EK89" s="1007"/>
      <c r="EL89" s="1007"/>
      <c r="EM89" s="1007"/>
      <c r="EN89" s="1007"/>
      <c r="EO89" s="1007"/>
      <c r="EP89" s="1007"/>
      <c r="EQ89" s="1007"/>
      <c r="ER89" s="1007"/>
      <c r="ES89" s="1007"/>
      <c r="ET89" s="1007"/>
      <c r="EU89" s="1007"/>
      <c r="EV89" s="1007"/>
      <c r="EW89" s="1007"/>
      <c r="EX89" s="1007"/>
      <c r="EY89" s="1007"/>
      <c r="EZ89" s="1007"/>
      <c r="FA89" s="1007"/>
      <c r="FB89" s="1007"/>
      <c r="FC89" s="1007"/>
      <c r="FD89" s="1007"/>
      <c r="FE89" s="1007"/>
      <c r="FF89" s="1007"/>
      <c r="FG89" s="1007"/>
      <c r="FH89" s="1007"/>
      <c r="FI89" s="1007"/>
      <c r="FJ89" s="1007"/>
      <c r="FK89" s="1007"/>
      <c r="FL89" s="1007"/>
      <c r="FM89" s="1007"/>
      <c r="FN89" s="1007"/>
      <c r="FO89" s="1007"/>
      <c r="FP89" s="1007"/>
      <c r="FQ89" s="1007"/>
      <c r="FR89" s="1007"/>
      <c r="FS89" s="1007"/>
      <c r="FT89" s="1007"/>
      <c r="FU89" s="1007"/>
      <c r="FV89" s="1007"/>
      <c r="FW89" s="1007"/>
      <c r="FX89" s="1007"/>
      <c r="FY89" s="1007"/>
      <c r="FZ89" s="1007"/>
      <c r="GA89" s="1008"/>
      <c r="GB89" s="1009"/>
    </row>
    <row r="90" spans="2:183" ht="34.95" customHeight="1" hidden="1" thickBot="1">
      <c r="B90" s="140" t="s">
        <v>154</v>
      </c>
      <c r="C90" s="445">
        <f>PMT($C$82/$C$78,$C$79,-$C$75)</f>
        <v>0</v>
      </c>
      <c r="D90" s="141">
        <f>IF(D88&gt;$C$79,0,PMT($C$82/$C$78,$C$79,-$C$75))</f>
        <v>0</v>
      </c>
      <c r="E90" s="141">
        <f aca="true" t="shared" si="97" ref="E90:BJ90">IF(E88&gt;$C$79,0,PMT($C$82/$C$78,$C$79,-$C$75))</f>
        <v>0</v>
      </c>
      <c r="F90" s="141">
        <f t="shared" si="97"/>
        <v>0</v>
      </c>
      <c r="G90" s="141">
        <f t="shared" si="97"/>
        <v>0</v>
      </c>
      <c r="H90" s="141">
        <f t="shared" si="97"/>
        <v>0</v>
      </c>
      <c r="I90" s="141">
        <f t="shared" si="97"/>
        <v>0</v>
      </c>
      <c r="J90" s="141">
        <f t="shared" si="97"/>
        <v>0</v>
      </c>
      <c r="K90" s="141">
        <f t="shared" si="97"/>
        <v>0</v>
      </c>
      <c r="L90" s="141">
        <f t="shared" si="97"/>
        <v>0</v>
      </c>
      <c r="M90" s="141">
        <f t="shared" si="97"/>
        <v>0</v>
      </c>
      <c r="N90" s="141">
        <f t="shared" si="97"/>
        <v>0</v>
      </c>
      <c r="O90" s="141">
        <f t="shared" si="97"/>
        <v>0</v>
      </c>
      <c r="P90" s="141">
        <f t="shared" si="97"/>
        <v>0</v>
      </c>
      <c r="Q90" s="141">
        <f t="shared" si="97"/>
        <v>0</v>
      </c>
      <c r="R90" s="141">
        <f t="shared" si="97"/>
        <v>0</v>
      </c>
      <c r="S90" s="141">
        <f t="shared" si="97"/>
        <v>0</v>
      </c>
      <c r="T90" s="141">
        <f t="shared" si="97"/>
        <v>0</v>
      </c>
      <c r="U90" s="141">
        <f t="shared" si="97"/>
        <v>0</v>
      </c>
      <c r="V90" s="141">
        <f t="shared" si="97"/>
        <v>0</v>
      </c>
      <c r="W90" s="141">
        <f t="shared" si="97"/>
        <v>0</v>
      </c>
      <c r="X90" s="141">
        <f t="shared" si="97"/>
        <v>0</v>
      </c>
      <c r="Y90" s="141">
        <f t="shared" si="97"/>
        <v>0</v>
      </c>
      <c r="Z90" s="141">
        <f t="shared" si="97"/>
        <v>0</v>
      </c>
      <c r="AA90" s="141">
        <f t="shared" si="97"/>
        <v>0</v>
      </c>
      <c r="AB90" s="141">
        <f t="shared" si="97"/>
        <v>0</v>
      </c>
      <c r="AC90" s="141">
        <f t="shared" si="97"/>
        <v>0</v>
      </c>
      <c r="AD90" s="141">
        <f t="shared" si="97"/>
        <v>0</v>
      </c>
      <c r="AE90" s="141">
        <f t="shared" si="97"/>
        <v>0</v>
      </c>
      <c r="AF90" s="141">
        <f t="shared" si="97"/>
        <v>0</v>
      </c>
      <c r="AG90" s="141">
        <f t="shared" si="97"/>
        <v>0</v>
      </c>
      <c r="AH90" s="141">
        <f t="shared" si="97"/>
        <v>0</v>
      </c>
      <c r="AI90" s="141">
        <f t="shared" si="97"/>
        <v>0</v>
      </c>
      <c r="AJ90" s="141">
        <f t="shared" si="97"/>
        <v>0</v>
      </c>
      <c r="AK90" s="141">
        <f t="shared" si="97"/>
        <v>0</v>
      </c>
      <c r="AL90" s="141">
        <f t="shared" si="97"/>
        <v>0</v>
      </c>
      <c r="AM90" s="141">
        <f t="shared" si="97"/>
        <v>0</v>
      </c>
      <c r="AN90" s="141">
        <f t="shared" si="97"/>
        <v>0</v>
      </c>
      <c r="AO90" s="141">
        <f t="shared" si="97"/>
        <v>0</v>
      </c>
      <c r="AP90" s="141">
        <f t="shared" si="97"/>
        <v>0</v>
      </c>
      <c r="AQ90" s="141">
        <f t="shared" si="97"/>
        <v>0</v>
      </c>
      <c r="AR90" s="141">
        <f t="shared" si="97"/>
        <v>0</v>
      </c>
      <c r="AS90" s="141">
        <f t="shared" si="97"/>
        <v>0</v>
      </c>
      <c r="AT90" s="141">
        <f t="shared" si="97"/>
        <v>0</v>
      </c>
      <c r="AU90" s="141">
        <f t="shared" si="97"/>
        <v>0</v>
      </c>
      <c r="AV90" s="141">
        <f t="shared" si="97"/>
        <v>0</v>
      </c>
      <c r="AW90" s="141">
        <f t="shared" si="97"/>
        <v>0</v>
      </c>
      <c r="AX90" s="141">
        <f t="shared" si="97"/>
        <v>0</v>
      </c>
      <c r="AY90" s="141">
        <f t="shared" si="97"/>
        <v>0</v>
      </c>
      <c r="AZ90" s="141">
        <f t="shared" si="97"/>
        <v>0</v>
      </c>
      <c r="BA90" s="141">
        <f t="shared" si="97"/>
        <v>0</v>
      </c>
      <c r="BB90" s="141">
        <f t="shared" si="97"/>
        <v>0</v>
      </c>
      <c r="BC90" s="141">
        <f t="shared" si="97"/>
        <v>0</v>
      </c>
      <c r="BD90" s="141">
        <f t="shared" si="97"/>
        <v>0</v>
      </c>
      <c r="BE90" s="141">
        <f t="shared" si="97"/>
        <v>0</v>
      </c>
      <c r="BF90" s="141">
        <f t="shared" si="97"/>
        <v>0</v>
      </c>
      <c r="BG90" s="141">
        <f t="shared" si="97"/>
        <v>0</v>
      </c>
      <c r="BH90" s="141">
        <f t="shared" si="97"/>
        <v>0</v>
      </c>
      <c r="BI90" s="141">
        <f t="shared" si="97"/>
        <v>0</v>
      </c>
      <c r="BJ90" s="141">
        <f t="shared" si="97"/>
        <v>0</v>
      </c>
      <c r="BK90" s="141"/>
      <c r="BL90" s="141"/>
      <c r="BM90" s="141"/>
      <c r="BN90" s="141"/>
      <c r="BO90" s="141"/>
      <c r="BP90" s="141"/>
      <c r="BQ90" s="141"/>
      <c r="BR90" s="141"/>
      <c r="BS90" s="141"/>
      <c r="BT90" s="141"/>
      <c r="BU90" s="141"/>
      <c r="BV90" s="141"/>
      <c r="BW90" s="141"/>
      <c r="BX90" s="141"/>
      <c r="BY90" s="141"/>
      <c r="BZ90" s="141"/>
      <c r="CA90" s="141"/>
      <c r="CB90" s="141"/>
      <c r="CC90" s="141"/>
      <c r="CD90" s="141"/>
      <c r="CE90" s="141"/>
      <c r="CF90" s="141"/>
      <c r="CG90" s="141"/>
      <c r="CH90" s="141"/>
      <c r="CI90" s="141"/>
      <c r="CJ90" s="141"/>
      <c r="CK90" s="141"/>
      <c r="CL90" s="141"/>
      <c r="CM90" s="141"/>
      <c r="CN90" s="141"/>
      <c r="CO90" s="141"/>
      <c r="CP90" s="141"/>
      <c r="CQ90" s="141"/>
      <c r="CR90" s="141"/>
      <c r="CS90" s="141"/>
      <c r="CT90" s="141"/>
      <c r="CU90" s="141"/>
      <c r="CV90" s="141"/>
      <c r="CW90" s="141"/>
      <c r="CX90" s="141"/>
      <c r="CY90" s="141"/>
      <c r="CZ90" s="141"/>
      <c r="DA90" s="141"/>
      <c r="DB90" s="141"/>
      <c r="DC90" s="141"/>
      <c r="DD90" s="141"/>
      <c r="DE90" s="141"/>
      <c r="DF90" s="141"/>
      <c r="DG90" s="141"/>
      <c r="DH90" s="141"/>
      <c r="DI90" s="141"/>
      <c r="DJ90" s="141"/>
      <c r="DK90" s="141"/>
      <c r="DL90" s="141"/>
      <c r="DM90" s="141"/>
      <c r="DN90" s="141"/>
      <c r="DO90" s="141"/>
      <c r="DP90" s="141"/>
      <c r="DQ90" s="141"/>
      <c r="DR90" s="141"/>
      <c r="DS90" s="141"/>
      <c r="DT90" s="141"/>
      <c r="DU90" s="141"/>
      <c r="DV90" s="141"/>
      <c r="DW90" s="141"/>
      <c r="DX90" s="141"/>
      <c r="DY90" s="141"/>
      <c r="DZ90" s="141"/>
      <c r="EA90" s="141"/>
      <c r="EB90" s="141"/>
      <c r="EC90" s="141"/>
      <c r="ED90" s="141"/>
      <c r="EE90" s="141"/>
      <c r="EF90" s="141"/>
      <c r="EG90" s="141"/>
      <c r="EH90" s="141"/>
      <c r="EI90" s="141"/>
      <c r="EJ90" s="141"/>
      <c r="EK90" s="141"/>
      <c r="EL90" s="141"/>
      <c r="EM90" s="141"/>
      <c r="EN90" s="141"/>
      <c r="EO90" s="141"/>
      <c r="EP90" s="141"/>
      <c r="EQ90" s="141"/>
      <c r="ER90" s="141"/>
      <c r="ES90" s="141"/>
      <c r="ET90" s="141"/>
      <c r="EU90" s="141"/>
      <c r="EV90" s="141"/>
      <c r="EW90" s="141"/>
      <c r="EX90" s="141"/>
      <c r="EY90" s="141"/>
      <c r="EZ90" s="141"/>
      <c r="FA90" s="141"/>
      <c r="FB90" s="141"/>
      <c r="FC90" s="141"/>
      <c r="FD90" s="141"/>
      <c r="FE90" s="141"/>
      <c r="FF90" s="141"/>
      <c r="FG90" s="141"/>
      <c r="FH90" s="141"/>
      <c r="FI90" s="141"/>
      <c r="FJ90" s="141"/>
      <c r="FK90" s="141"/>
      <c r="FL90" s="141"/>
      <c r="FM90" s="141"/>
      <c r="FN90" s="141"/>
      <c r="FO90" s="141"/>
      <c r="FP90" s="141"/>
      <c r="FQ90" s="141"/>
      <c r="FR90" s="141"/>
      <c r="FS90" s="141"/>
      <c r="FT90" s="141"/>
      <c r="FU90" s="141"/>
      <c r="FV90" s="141"/>
      <c r="FW90" s="141"/>
      <c r="FX90" s="141"/>
      <c r="FY90" s="141"/>
      <c r="FZ90" s="141"/>
      <c r="GA90" s="142"/>
    </row>
    <row r="91" spans="2:183" ht="34.95" customHeight="1" hidden="1" thickBot="1">
      <c r="B91" s="140" t="s">
        <v>148</v>
      </c>
      <c r="C91" s="141">
        <f>+PPMT($C$82/$C$78,C88,$C$79,-$C$75)</f>
        <v>0</v>
      </c>
      <c r="D91" s="141">
        <f>IF(D88&gt;$C$79,0,PPMT($C$82/$C$78,D88,$C$79,-$C$75))</f>
        <v>0</v>
      </c>
      <c r="E91" s="141">
        <f aca="true" t="shared" si="98" ref="E91:BJ91">IF(E88&gt;$C$79,0,PPMT($C$82/$C$78,E88,$C$79,-$C$75))</f>
        <v>0</v>
      </c>
      <c r="F91" s="141">
        <f t="shared" si="98"/>
        <v>0</v>
      </c>
      <c r="G91" s="141">
        <f t="shared" si="98"/>
        <v>0</v>
      </c>
      <c r="H91" s="141">
        <f t="shared" si="98"/>
        <v>0</v>
      </c>
      <c r="I91" s="141">
        <f t="shared" si="98"/>
        <v>0</v>
      </c>
      <c r="J91" s="141">
        <f t="shared" si="98"/>
        <v>0</v>
      </c>
      <c r="K91" s="141">
        <f t="shared" si="98"/>
        <v>0</v>
      </c>
      <c r="L91" s="141">
        <f t="shared" si="98"/>
        <v>0</v>
      </c>
      <c r="M91" s="141">
        <f t="shared" si="98"/>
        <v>0</v>
      </c>
      <c r="N91" s="141">
        <f t="shared" si="98"/>
        <v>0</v>
      </c>
      <c r="O91" s="141">
        <f t="shared" si="98"/>
        <v>0</v>
      </c>
      <c r="P91" s="141">
        <f t="shared" si="98"/>
        <v>0</v>
      </c>
      <c r="Q91" s="141">
        <f t="shared" si="98"/>
        <v>0</v>
      </c>
      <c r="R91" s="141">
        <f t="shared" si="98"/>
        <v>0</v>
      </c>
      <c r="S91" s="141">
        <f t="shared" si="98"/>
        <v>0</v>
      </c>
      <c r="T91" s="141">
        <f t="shared" si="98"/>
        <v>0</v>
      </c>
      <c r="U91" s="141">
        <f t="shared" si="98"/>
        <v>0</v>
      </c>
      <c r="V91" s="141">
        <f t="shared" si="98"/>
        <v>0</v>
      </c>
      <c r="W91" s="141">
        <f t="shared" si="98"/>
        <v>0</v>
      </c>
      <c r="X91" s="141">
        <f t="shared" si="98"/>
        <v>0</v>
      </c>
      <c r="Y91" s="141">
        <f t="shared" si="98"/>
        <v>0</v>
      </c>
      <c r="Z91" s="141">
        <f t="shared" si="98"/>
        <v>0</v>
      </c>
      <c r="AA91" s="141">
        <f t="shared" si="98"/>
        <v>0</v>
      </c>
      <c r="AB91" s="141">
        <f t="shared" si="98"/>
        <v>0</v>
      </c>
      <c r="AC91" s="141">
        <f t="shared" si="98"/>
        <v>0</v>
      </c>
      <c r="AD91" s="141">
        <f t="shared" si="98"/>
        <v>0</v>
      </c>
      <c r="AE91" s="141">
        <f t="shared" si="98"/>
        <v>0</v>
      </c>
      <c r="AF91" s="141">
        <f t="shared" si="98"/>
        <v>0</v>
      </c>
      <c r="AG91" s="141">
        <f t="shared" si="98"/>
        <v>0</v>
      </c>
      <c r="AH91" s="141">
        <f t="shared" si="98"/>
        <v>0</v>
      </c>
      <c r="AI91" s="141">
        <f t="shared" si="98"/>
        <v>0</v>
      </c>
      <c r="AJ91" s="141">
        <f t="shared" si="98"/>
        <v>0</v>
      </c>
      <c r="AK91" s="141">
        <f t="shared" si="98"/>
        <v>0</v>
      </c>
      <c r="AL91" s="141">
        <f t="shared" si="98"/>
        <v>0</v>
      </c>
      <c r="AM91" s="141">
        <f t="shared" si="98"/>
        <v>0</v>
      </c>
      <c r="AN91" s="141">
        <f t="shared" si="98"/>
        <v>0</v>
      </c>
      <c r="AO91" s="141">
        <f t="shared" si="98"/>
        <v>0</v>
      </c>
      <c r="AP91" s="141">
        <f t="shared" si="98"/>
        <v>0</v>
      </c>
      <c r="AQ91" s="141">
        <f t="shared" si="98"/>
        <v>0</v>
      </c>
      <c r="AR91" s="141">
        <f t="shared" si="98"/>
        <v>0</v>
      </c>
      <c r="AS91" s="141">
        <f t="shared" si="98"/>
        <v>0</v>
      </c>
      <c r="AT91" s="141">
        <f t="shared" si="98"/>
        <v>0</v>
      </c>
      <c r="AU91" s="141">
        <f t="shared" si="98"/>
        <v>0</v>
      </c>
      <c r="AV91" s="141">
        <f t="shared" si="98"/>
        <v>0</v>
      </c>
      <c r="AW91" s="141">
        <f t="shared" si="98"/>
        <v>0</v>
      </c>
      <c r="AX91" s="141">
        <f t="shared" si="98"/>
        <v>0</v>
      </c>
      <c r="AY91" s="141">
        <f t="shared" si="98"/>
        <v>0</v>
      </c>
      <c r="AZ91" s="141">
        <f t="shared" si="98"/>
        <v>0</v>
      </c>
      <c r="BA91" s="141">
        <f t="shared" si="98"/>
        <v>0</v>
      </c>
      <c r="BB91" s="141">
        <f t="shared" si="98"/>
        <v>0</v>
      </c>
      <c r="BC91" s="141">
        <f t="shared" si="98"/>
        <v>0</v>
      </c>
      <c r="BD91" s="141">
        <f t="shared" si="98"/>
        <v>0</v>
      </c>
      <c r="BE91" s="141">
        <f t="shared" si="98"/>
        <v>0</v>
      </c>
      <c r="BF91" s="141">
        <f t="shared" si="98"/>
        <v>0</v>
      </c>
      <c r="BG91" s="141">
        <f t="shared" si="98"/>
        <v>0</v>
      </c>
      <c r="BH91" s="141">
        <f t="shared" si="98"/>
        <v>0</v>
      </c>
      <c r="BI91" s="141">
        <f t="shared" si="98"/>
        <v>0</v>
      </c>
      <c r="BJ91" s="141">
        <f t="shared" si="98"/>
        <v>0</v>
      </c>
      <c r="BK91" s="141"/>
      <c r="BL91" s="141"/>
      <c r="BM91" s="141"/>
      <c r="BN91" s="141"/>
      <c r="BO91" s="141"/>
      <c r="BP91" s="141"/>
      <c r="BQ91" s="141"/>
      <c r="BR91" s="141"/>
      <c r="BS91" s="141"/>
      <c r="BT91" s="141"/>
      <c r="BU91" s="141"/>
      <c r="BV91" s="141"/>
      <c r="BW91" s="141"/>
      <c r="BX91" s="141"/>
      <c r="BY91" s="141"/>
      <c r="BZ91" s="141"/>
      <c r="CA91" s="141"/>
      <c r="CB91" s="141"/>
      <c r="CC91" s="141"/>
      <c r="CD91" s="141"/>
      <c r="CE91" s="141"/>
      <c r="CF91" s="141"/>
      <c r="CG91" s="141"/>
      <c r="CH91" s="141"/>
      <c r="CI91" s="141"/>
      <c r="CJ91" s="141"/>
      <c r="CK91" s="141"/>
      <c r="CL91" s="141"/>
      <c r="CM91" s="141"/>
      <c r="CN91" s="141"/>
      <c r="CO91" s="141"/>
      <c r="CP91" s="141"/>
      <c r="CQ91" s="141"/>
      <c r="CR91" s="141"/>
      <c r="CS91" s="141"/>
      <c r="CT91" s="141"/>
      <c r="CU91" s="141"/>
      <c r="CV91" s="141"/>
      <c r="CW91" s="141"/>
      <c r="CX91" s="141"/>
      <c r="CY91" s="141"/>
      <c r="CZ91" s="141"/>
      <c r="DA91" s="141"/>
      <c r="DB91" s="141"/>
      <c r="DC91" s="141"/>
      <c r="DD91" s="141"/>
      <c r="DE91" s="141"/>
      <c r="DF91" s="141"/>
      <c r="DG91" s="141"/>
      <c r="DH91" s="141"/>
      <c r="DI91" s="141"/>
      <c r="DJ91" s="141"/>
      <c r="DK91" s="141"/>
      <c r="DL91" s="141"/>
      <c r="DM91" s="141"/>
      <c r="DN91" s="141"/>
      <c r="DO91" s="141"/>
      <c r="DP91" s="141"/>
      <c r="DQ91" s="141"/>
      <c r="DR91" s="141"/>
      <c r="DS91" s="141"/>
      <c r="DT91" s="141"/>
      <c r="DU91" s="141"/>
      <c r="DV91" s="141"/>
      <c r="DW91" s="141"/>
      <c r="DX91" s="141"/>
      <c r="DY91" s="141"/>
      <c r="DZ91" s="141"/>
      <c r="EA91" s="141"/>
      <c r="EB91" s="141"/>
      <c r="EC91" s="141"/>
      <c r="ED91" s="141"/>
      <c r="EE91" s="141"/>
      <c r="EF91" s="141"/>
      <c r="EG91" s="141"/>
      <c r="EH91" s="141"/>
      <c r="EI91" s="141"/>
      <c r="EJ91" s="141"/>
      <c r="EK91" s="141"/>
      <c r="EL91" s="141"/>
      <c r="EM91" s="141"/>
      <c r="EN91" s="141"/>
      <c r="EO91" s="141"/>
      <c r="EP91" s="141"/>
      <c r="EQ91" s="141"/>
      <c r="ER91" s="141"/>
      <c r="ES91" s="141"/>
      <c r="ET91" s="141"/>
      <c r="EU91" s="141"/>
      <c r="EV91" s="141"/>
      <c r="EW91" s="141"/>
      <c r="EX91" s="141"/>
      <c r="EY91" s="141"/>
      <c r="EZ91" s="141"/>
      <c r="FA91" s="141"/>
      <c r="FB91" s="141"/>
      <c r="FC91" s="141"/>
      <c r="FD91" s="141"/>
      <c r="FE91" s="141"/>
      <c r="FF91" s="141"/>
      <c r="FG91" s="141"/>
      <c r="FH91" s="141"/>
      <c r="FI91" s="141"/>
      <c r="FJ91" s="141"/>
      <c r="FK91" s="141"/>
      <c r="FL91" s="141"/>
      <c r="FM91" s="141"/>
      <c r="FN91" s="141"/>
      <c r="FO91" s="141"/>
      <c r="FP91" s="141"/>
      <c r="FQ91" s="141"/>
      <c r="FR91" s="141"/>
      <c r="FS91" s="141"/>
      <c r="FT91" s="141"/>
      <c r="FU91" s="141"/>
      <c r="FV91" s="141"/>
      <c r="FW91" s="141"/>
      <c r="FX91" s="141"/>
      <c r="FY91" s="141"/>
      <c r="FZ91" s="141"/>
      <c r="GA91" s="142"/>
    </row>
    <row r="92" spans="2:183" ht="34.95" customHeight="1" hidden="1" thickBot="1">
      <c r="B92" s="140" t="s">
        <v>149</v>
      </c>
      <c r="C92" s="141">
        <f>IPMT($C$82/$C$78,C88,$C$79,-$C$75)</f>
        <v>0</v>
      </c>
      <c r="D92" s="141">
        <f>IF(D88&gt;$C$79,0,IPMT($C$82/$C$78,D88,$C$79,-$C$75))</f>
        <v>0</v>
      </c>
      <c r="E92" s="141">
        <f aca="true" t="shared" si="99" ref="E92:BJ92">IF(E88&gt;$C$79,0,IPMT($C$82/$C$78,E88,$C$79,-$C$75))</f>
        <v>0</v>
      </c>
      <c r="F92" s="141">
        <f t="shared" si="99"/>
        <v>0</v>
      </c>
      <c r="G92" s="141">
        <f t="shared" si="99"/>
        <v>0</v>
      </c>
      <c r="H92" s="141">
        <f t="shared" si="99"/>
        <v>0</v>
      </c>
      <c r="I92" s="141">
        <f t="shared" si="99"/>
        <v>0</v>
      </c>
      <c r="J92" s="141">
        <f t="shared" si="99"/>
        <v>0</v>
      </c>
      <c r="K92" s="141">
        <f t="shared" si="99"/>
        <v>0</v>
      </c>
      <c r="L92" s="141">
        <f t="shared" si="99"/>
        <v>0</v>
      </c>
      <c r="M92" s="141">
        <f t="shared" si="99"/>
        <v>0</v>
      </c>
      <c r="N92" s="141">
        <f t="shared" si="99"/>
        <v>0</v>
      </c>
      <c r="O92" s="141">
        <f t="shared" si="99"/>
        <v>0</v>
      </c>
      <c r="P92" s="141">
        <f t="shared" si="99"/>
        <v>0</v>
      </c>
      <c r="Q92" s="141">
        <f t="shared" si="99"/>
        <v>0</v>
      </c>
      <c r="R92" s="141">
        <f t="shared" si="99"/>
        <v>0</v>
      </c>
      <c r="S92" s="141">
        <f t="shared" si="99"/>
        <v>0</v>
      </c>
      <c r="T92" s="141">
        <f t="shared" si="99"/>
        <v>0</v>
      </c>
      <c r="U92" s="141">
        <f t="shared" si="99"/>
        <v>0</v>
      </c>
      <c r="V92" s="141">
        <f t="shared" si="99"/>
        <v>0</v>
      </c>
      <c r="W92" s="141">
        <f t="shared" si="99"/>
        <v>0</v>
      </c>
      <c r="X92" s="141">
        <f t="shared" si="99"/>
        <v>0</v>
      </c>
      <c r="Y92" s="141">
        <f t="shared" si="99"/>
        <v>0</v>
      </c>
      <c r="Z92" s="141">
        <f t="shared" si="99"/>
        <v>0</v>
      </c>
      <c r="AA92" s="141">
        <f t="shared" si="99"/>
        <v>0</v>
      </c>
      <c r="AB92" s="141">
        <f t="shared" si="99"/>
        <v>0</v>
      </c>
      <c r="AC92" s="141">
        <f t="shared" si="99"/>
        <v>0</v>
      </c>
      <c r="AD92" s="141">
        <f t="shared" si="99"/>
        <v>0</v>
      </c>
      <c r="AE92" s="141">
        <f t="shared" si="99"/>
        <v>0</v>
      </c>
      <c r="AF92" s="141">
        <f t="shared" si="99"/>
        <v>0</v>
      </c>
      <c r="AG92" s="141">
        <f t="shared" si="99"/>
        <v>0</v>
      </c>
      <c r="AH92" s="141">
        <f t="shared" si="99"/>
        <v>0</v>
      </c>
      <c r="AI92" s="141">
        <f t="shared" si="99"/>
        <v>0</v>
      </c>
      <c r="AJ92" s="141">
        <f t="shared" si="99"/>
        <v>0</v>
      </c>
      <c r="AK92" s="141">
        <f t="shared" si="99"/>
        <v>0</v>
      </c>
      <c r="AL92" s="141">
        <f t="shared" si="99"/>
        <v>0</v>
      </c>
      <c r="AM92" s="141">
        <f t="shared" si="99"/>
        <v>0</v>
      </c>
      <c r="AN92" s="141">
        <f t="shared" si="99"/>
        <v>0</v>
      </c>
      <c r="AO92" s="141">
        <f t="shared" si="99"/>
        <v>0</v>
      </c>
      <c r="AP92" s="141">
        <f t="shared" si="99"/>
        <v>0</v>
      </c>
      <c r="AQ92" s="141">
        <f t="shared" si="99"/>
        <v>0</v>
      </c>
      <c r="AR92" s="141">
        <f t="shared" si="99"/>
        <v>0</v>
      </c>
      <c r="AS92" s="141">
        <f t="shared" si="99"/>
        <v>0</v>
      </c>
      <c r="AT92" s="141">
        <f t="shared" si="99"/>
        <v>0</v>
      </c>
      <c r="AU92" s="141">
        <f t="shared" si="99"/>
        <v>0</v>
      </c>
      <c r="AV92" s="141">
        <f t="shared" si="99"/>
        <v>0</v>
      </c>
      <c r="AW92" s="141">
        <f t="shared" si="99"/>
        <v>0</v>
      </c>
      <c r="AX92" s="141">
        <f t="shared" si="99"/>
        <v>0</v>
      </c>
      <c r="AY92" s="141">
        <f t="shared" si="99"/>
        <v>0</v>
      </c>
      <c r="AZ92" s="141">
        <f t="shared" si="99"/>
        <v>0</v>
      </c>
      <c r="BA92" s="141">
        <f t="shared" si="99"/>
        <v>0</v>
      </c>
      <c r="BB92" s="141">
        <f t="shared" si="99"/>
        <v>0</v>
      </c>
      <c r="BC92" s="141">
        <f t="shared" si="99"/>
        <v>0</v>
      </c>
      <c r="BD92" s="141">
        <f t="shared" si="99"/>
        <v>0</v>
      </c>
      <c r="BE92" s="141">
        <f t="shared" si="99"/>
        <v>0</v>
      </c>
      <c r="BF92" s="141">
        <f t="shared" si="99"/>
        <v>0</v>
      </c>
      <c r="BG92" s="141">
        <f t="shared" si="99"/>
        <v>0</v>
      </c>
      <c r="BH92" s="141">
        <f t="shared" si="99"/>
        <v>0</v>
      </c>
      <c r="BI92" s="141">
        <f t="shared" si="99"/>
        <v>0</v>
      </c>
      <c r="BJ92" s="141">
        <f t="shared" si="99"/>
        <v>0</v>
      </c>
      <c r="BK92" s="141"/>
      <c r="BL92" s="141"/>
      <c r="BM92" s="141"/>
      <c r="BN92" s="141"/>
      <c r="BO92" s="141"/>
      <c r="BP92" s="141"/>
      <c r="BQ92" s="141"/>
      <c r="BR92" s="141"/>
      <c r="BS92" s="141"/>
      <c r="BT92" s="141"/>
      <c r="BU92" s="141"/>
      <c r="BV92" s="141"/>
      <c r="BW92" s="141"/>
      <c r="BX92" s="141"/>
      <c r="BY92" s="141"/>
      <c r="BZ92" s="141"/>
      <c r="CA92" s="141"/>
      <c r="CB92" s="141"/>
      <c r="CC92" s="141"/>
      <c r="CD92" s="141"/>
      <c r="CE92" s="141"/>
      <c r="CF92" s="141"/>
      <c r="CG92" s="141"/>
      <c r="CH92" s="141"/>
      <c r="CI92" s="141"/>
      <c r="CJ92" s="141"/>
      <c r="CK92" s="141"/>
      <c r="CL92" s="141"/>
      <c r="CM92" s="141"/>
      <c r="CN92" s="141"/>
      <c r="CO92" s="141"/>
      <c r="CP92" s="141"/>
      <c r="CQ92" s="141"/>
      <c r="CR92" s="141"/>
      <c r="CS92" s="141"/>
      <c r="CT92" s="141"/>
      <c r="CU92" s="141"/>
      <c r="CV92" s="141"/>
      <c r="CW92" s="141"/>
      <c r="CX92" s="141"/>
      <c r="CY92" s="141"/>
      <c r="CZ92" s="141"/>
      <c r="DA92" s="141"/>
      <c r="DB92" s="141"/>
      <c r="DC92" s="141"/>
      <c r="DD92" s="141"/>
      <c r="DE92" s="141"/>
      <c r="DF92" s="141"/>
      <c r="DG92" s="141"/>
      <c r="DH92" s="141"/>
      <c r="DI92" s="141"/>
      <c r="DJ92" s="141"/>
      <c r="DK92" s="141"/>
      <c r="DL92" s="141"/>
      <c r="DM92" s="141"/>
      <c r="DN92" s="141"/>
      <c r="DO92" s="141"/>
      <c r="DP92" s="141"/>
      <c r="DQ92" s="141"/>
      <c r="DR92" s="141"/>
      <c r="DS92" s="141"/>
      <c r="DT92" s="141"/>
      <c r="DU92" s="141"/>
      <c r="DV92" s="141"/>
      <c r="DW92" s="141"/>
      <c r="DX92" s="141"/>
      <c r="DY92" s="141"/>
      <c r="DZ92" s="141"/>
      <c r="EA92" s="141"/>
      <c r="EB92" s="141"/>
      <c r="EC92" s="141"/>
      <c r="ED92" s="141"/>
      <c r="EE92" s="141"/>
      <c r="EF92" s="141"/>
      <c r="EG92" s="141"/>
      <c r="EH92" s="141"/>
      <c r="EI92" s="141"/>
      <c r="EJ92" s="141"/>
      <c r="EK92" s="141"/>
      <c r="EL92" s="141"/>
      <c r="EM92" s="141"/>
      <c r="EN92" s="141"/>
      <c r="EO92" s="141"/>
      <c r="EP92" s="141"/>
      <c r="EQ92" s="141"/>
      <c r="ER92" s="141"/>
      <c r="ES92" s="141"/>
      <c r="ET92" s="141"/>
      <c r="EU92" s="141"/>
      <c r="EV92" s="141"/>
      <c r="EW92" s="141"/>
      <c r="EX92" s="141"/>
      <c r="EY92" s="141"/>
      <c r="EZ92" s="141"/>
      <c r="FA92" s="141"/>
      <c r="FB92" s="141"/>
      <c r="FC92" s="141"/>
      <c r="FD92" s="141"/>
      <c r="FE92" s="141"/>
      <c r="FF92" s="141"/>
      <c r="FG92" s="141"/>
      <c r="FH92" s="141"/>
      <c r="FI92" s="141"/>
      <c r="FJ92" s="141"/>
      <c r="FK92" s="141"/>
      <c r="FL92" s="141"/>
      <c r="FM92" s="141"/>
      <c r="FN92" s="141"/>
      <c r="FO92" s="141"/>
      <c r="FP92" s="141"/>
      <c r="FQ92" s="141"/>
      <c r="FR92" s="141"/>
      <c r="FS92" s="141"/>
      <c r="FT92" s="141"/>
      <c r="FU92" s="141"/>
      <c r="FV92" s="141"/>
      <c r="FW92" s="141"/>
      <c r="FX92" s="141"/>
      <c r="FY92" s="141"/>
      <c r="FZ92" s="141"/>
      <c r="GA92" s="143"/>
    </row>
    <row r="93" spans="2:183" ht="34.95" customHeight="1" hidden="1" thickBot="1">
      <c r="B93" s="144" t="s">
        <v>152</v>
      </c>
      <c r="C93" s="141">
        <f>+C75-C91</f>
        <v>0</v>
      </c>
      <c r="D93" s="141">
        <f>IF(D88&gt;$C$79,0,C93-D91)</f>
        <v>0</v>
      </c>
      <c r="E93" s="141">
        <f aca="true" t="shared" si="100" ref="E93:BJ93">IF(E88&gt;$C$79,0,D93-E91)</f>
        <v>0</v>
      </c>
      <c r="F93" s="141">
        <f t="shared" si="100"/>
        <v>0</v>
      </c>
      <c r="G93" s="141">
        <f t="shared" si="100"/>
        <v>0</v>
      </c>
      <c r="H93" s="141">
        <f t="shared" si="100"/>
        <v>0</v>
      </c>
      <c r="I93" s="141">
        <f t="shared" si="100"/>
        <v>0</v>
      </c>
      <c r="J93" s="141">
        <f t="shared" si="100"/>
        <v>0</v>
      </c>
      <c r="K93" s="141">
        <f t="shared" si="100"/>
        <v>0</v>
      </c>
      <c r="L93" s="141">
        <f t="shared" si="100"/>
        <v>0</v>
      </c>
      <c r="M93" s="141">
        <f t="shared" si="100"/>
        <v>0</v>
      </c>
      <c r="N93" s="141">
        <f t="shared" si="100"/>
        <v>0</v>
      </c>
      <c r="O93" s="141">
        <f t="shared" si="100"/>
        <v>0</v>
      </c>
      <c r="P93" s="141">
        <f t="shared" si="100"/>
        <v>0</v>
      </c>
      <c r="Q93" s="141">
        <f t="shared" si="100"/>
        <v>0</v>
      </c>
      <c r="R93" s="141">
        <f t="shared" si="100"/>
        <v>0</v>
      </c>
      <c r="S93" s="141">
        <f t="shared" si="100"/>
        <v>0</v>
      </c>
      <c r="T93" s="141">
        <f t="shared" si="100"/>
        <v>0</v>
      </c>
      <c r="U93" s="141">
        <f t="shared" si="100"/>
        <v>0</v>
      </c>
      <c r="V93" s="141">
        <f t="shared" si="100"/>
        <v>0</v>
      </c>
      <c r="W93" s="141">
        <f t="shared" si="100"/>
        <v>0</v>
      </c>
      <c r="X93" s="141">
        <f t="shared" si="100"/>
        <v>0</v>
      </c>
      <c r="Y93" s="141">
        <f t="shared" si="100"/>
        <v>0</v>
      </c>
      <c r="Z93" s="141">
        <f t="shared" si="100"/>
        <v>0</v>
      </c>
      <c r="AA93" s="141">
        <f t="shared" si="100"/>
        <v>0</v>
      </c>
      <c r="AB93" s="141">
        <f t="shared" si="100"/>
        <v>0</v>
      </c>
      <c r="AC93" s="141">
        <f t="shared" si="100"/>
        <v>0</v>
      </c>
      <c r="AD93" s="141">
        <f t="shared" si="100"/>
        <v>0</v>
      </c>
      <c r="AE93" s="141">
        <f t="shared" si="100"/>
        <v>0</v>
      </c>
      <c r="AF93" s="141">
        <f t="shared" si="100"/>
        <v>0</v>
      </c>
      <c r="AG93" s="141">
        <f t="shared" si="100"/>
        <v>0</v>
      </c>
      <c r="AH93" s="141">
        <f t="shared" si="100"/>
        <v>0</v>
      </c>
      <c r="AI93" s="141">
        <f t="shared" si="100"/>
        <v>0</v>
      </c>
      <c r="AJ93" s="141">
        <f t="shared" si="100"/>
        <v>0</v>
      </c>
      <c r="AK93" s="141">
        <f t="shared" si="100"/>
        <v>0</v>
      </c>
      <c r="AL93" s="141">
        <f t="shared" si="100"/>
        <v>0</v>
      </c>
      <c r="AM93" s="141">
        <f t="shared" si="100"/>
        <v>0</v>
      </c>
      <c r="AN93" s="141">
        <f t="shared" si="100"/>
        <v>0</v>
      </c>
      <c r="AO93" s="141">
        <f t="shared" si="100"/>
        <v>0</v>
      </c>
      <c r="AP93" s="141">
        <f t="shared" si="100"/>
        <v>0</v>
      </c>
      <c r="AQ93" s="141">
        <f t="shared" si="100"/>
        <v>0</v>
      </c>
      <c r="AR93" s="141">
        <f t="shared" si="100"/>
        <v>0</v>
      </c>
      <c r="AS93" s="141">
        <f t="shared" si="100"/>
        <v>0</v>
      </c>
      <c r="AT93" s="141">
        <f t="shared" si="100"/>
        <v>0</v>
      </c>
      <c r="AU93" s="141">
        <f t="shared" si="100"/>
        <v>0</v>
      </c>
      <c r="AV93" s="141">
        <f t="shared" si="100"/>
        <v>0</v>
      </c>
      <c r="AW93" s="141">
        <f t="shared" si="100"/>
        <v>0</v>
      </c>
      <c r="AX93" s="141">
        <f t="shared" si="100"/>
        <v>0</v>
      </c>
      <c r="AY93" s="141">
        <f t="shared" si="100"/>
        <v>0</v>
      </c>
      <c r="AZ93" s="141">
        <f t="shared" si="100"/>
        <v>0</v>
      </c>
      <c r="BA93" s="141">
        <f t="shared" si="100"/>
        <v>0</v>
      </c>
      <c r="BB93" s="141">
        <f t="shared" si="100"/>
        <v>0</v>
      </c>
      <c r="BC93" s="141">
        <f t="shared" si="100"/>
        <v>0</v>
      </c>
      <c r="BD93" s="141">
        <f t="shared" si="100"/>
        <v>0</v>
      </c>
      <c r="BE93" s="141">
        <f t="shared" si="100"/>
        <v>0</v>
      </c>
      <c r="BF93" s="141">
        <f t="shared" si="100"/>
        <v>0</v>
      </c>
      <c r="BG93" s="141">
        <f t="shared" si="100"/>
        <v>0</v>
      </c>
      <c r="BH93" s="141">
        <f t="shared" si="100"/>
        <v>0</v>
      </c>
      <c r="BI93" s="141">
        <f t="shared" si="100"/>
        <v>0</v>
      </c>
      <c r="BJ93" s="141">
        <f t="shared" si="100"/>
        <v>0</v>
      </c>
      <c r="BK93" s="141"/>
      <c r="BL93" s="141"/>
      <c r="BM93" s="141"/>
      <c r="BN93" s="141"/>
      <c r="BO93" s="141"/>
      <c r="BP93" s="141"/>
      <c r="BQ93" s="141"/>
      <c r="BR93" s="141"/>
      <c r="BS93" s="141"/>
      <c r="BT93" s="141"/>
      <c r="BU93" s="141"/>
      <c r="BV93" s="141"/>
      <c r="BW93" s="141"/>
      <c r="BX93" s="141"/>
      <c r="BY93" s="141"/>
      <c r="BZ93" s="141"/>
      <c r="CA93" s="141"/>
      <c r="CB93" s="141"/>
      <c r="CC93" s="141"/>
      <c r="CD93" s="141"/>
      <c r="CE93" s="141"/>
      <c r="CF93" s="141"/>
      <c r="CG93" s="141"/>
      <c r="CH93" s="141"/>
      <c r="CI93" s="141"/>
      <c r="CJ93" s="141"/>
      <c r="CK93" s="141"/>
      <c r="CL93" s="141"/>
      <c r="CM93" s="141"/>
      <c r="CN93" s="141"/>
      <c r="CO93" s="141"/>
      <c r="CP93" s="141"/>
      <c r="CQ93" s="141"/>
      <c r="CR93" s="141"/>
      <c r="CS93" s="141"/>
      <c r="CT93" s="141"/>
      <c r="CU93" s="141"/>
      <c r="CV93" s="141"/>
      <c r="CW93" s="141"/>
      <c r="CX93" s="141"/>
      <c r="CY93" s="141"/>
      <c r="CZ93" s="141"/>
      <c r="DA93" s="141"/>
      <c r="DB93" s="141"/>
      <c r="DC93" s="141"/>
      <c r="DD93" s="141"/>
      <c r="DE93" s="141"/>
      <c r="DF93" s="141"/>
      <c r="DG93" s="141"/>
      <c r="DH93" s="141"/>
      <c r="DI93" s="141"/>
      <c r="DJ93" s="141"/>
      <c r="DK93" s="141"/>
      <c r="DL93" s="141"/>
      <c r="DM93" s="141"/>
      <c r="DN93" s="141"/>
      <c r="DO93" s="141"/>
      <c r="DP93" s="141"/>
      <c r="DQ93" s="141"/>
      <c r="DR93" s="141"/>
      <c r="DS93" s="141"/>
      <c r="DT93" s="141"/>
      <c r="DU93" s="141"/>
      <c r="DV93" s="141"/>
      <c r="DW93" s="141"/>
      <c r="DX93" s="141"/>
      <c r="DY93" s="141"/>
      <c r="DZ93" s="141"/>
      <c r="EA93" s="141"/>
      <c r="EB93" s="141"/>
      <c r="EC93" s="141"/>
      <c r="ED93" s="141"/>
      <c r="EE93" s="141"/>
      <c r="EF93" s="141"/>
      <c r="EG93" s="141"/>
      <c r="EH93" s="141"/>
      <c r="EI93" s="141"/>
      <c r="EJ93" s="141"/>
      <c r="EK93" s="141"/>
      <c r="EL93" s="141"/>
      <c r="EM93" s="141"/>
      <c r="EN93" s="141"/>
      <c r="EO93" s="141"/>
      <c r="EP93" s="141"/>
      <c r="EQ93" s="141"/>
      <c r="ER93" s="141"/>
      <c r="ES93" s="141"/>
      <c r="ET93" s="141"/>
      <c r="EU93" s="141"/>
      <c r="EV93" s="141"/>
      <c r="EW93" s="141"/>
      <c r="EX93" s="141"/>
      <c r="EY93" s="141"/>
      <c r="EZ93" s="141"/>
      <c r="FA93" s="141"/>
      <c r="FB93" s="141"/>
      <c r="FC93" s="141"/>
      <c r="FD93" s="141"/>
      <c r="FE93" s="141"/>
      <c r="FF93" s="141"/>
      <c r="FG93" s="141"/>
      <c r="FH93" s="141"/>
      <c r="FI93" s="141"/>
      <c r="FJ93" s="141"/>
      <c r="FK93" s="141"/>
      <c r="FL93" s="141"/>
      <c r="FM93" s="141"/>
      <c r="FN93" s="141"/>
      <c r="FO93" s="141"/>
      <c r="FP93" s="141"/>
      <c r="FQ93" s="141"/>
      <c r="FR93" s="141"/>
      <c r="FS93" s="141"/>
      <c r="FT93" s="141"/>
      <c r="FU93" s="141"/>
      <c r="FV93" s="141"/>
      <c r="FW93" s="141"/>
      <c r="FX93" s="141"/>
      <c r="FY93" s="141"/>
      <c r="FZ93" s="141"/>
      <c r="GA93" s="143"/>
    </row>
    <row r="94" ht="34.95" customHeight="1" hidden="1" thickBot="1"/>
    <row r="95" spans="1:184" ht="15.75" hidden="1">
      <c r="A95" s="962">
        <v>1</v>
      </c>
      <c r="B95" s="1530">
        <f>1+B73</f>
        <v>2023</v>
      </c>
      <c r="C95" s="1532"/>
      <c r="D95" s="5"/>
      <c r="E95" s="962"/>
      <c r="FZ95" s="2"/>
      <c r="GA95" s="2"/>
      <c r="GB95" s="2"/>
    </row>
    <row r="96" spans="2:184" ht="16.2" hidden="1" thickBot="1">
      <c r="B96" s="1627"/>
      <c r="C96" s="1628"/>
      <c r="D96" s="5"/>
      <c r="FZ96" s="2"/>
      <c r="GA96" s="2"/>
      <c r="GB96" s="2"/>
    </row>
    <row r="97" spans="2:184" ht="16.2" hidden="1" thickBot="1">
      <c r="B97" s="137" t="s">
        <v>139</v>
      </c>
      <c r="C97" s="1010">
        <f>+SUM('Cash Flow Statement'!AO19:AZ19)</f>
        <v>0</v>
      </c>
      <c r="D97" s="2"/>
      <c r="FZ97" s="2"/>
      <c r="GA97" s="2"/>
      <c r="GB97" s="2"/>
    </row>
    <row r="98" spans="2:184" ht="15.75" hidden="1">
      <c r="B98" s="488" t="s">
        <v>140</v>
      </c>
      <c r="C98" s="727">
        <v>3</v>
      </c>
      <c r="D98" s="2"/>
      <c r="FZ98" s="2"/>
      <c r="GA98" s="2"/>
      <c r="GB98" s="2"/>
    </row>
    <row r="99" spans="2:184" ht="15.75" hidden="1">
      <c r="B99" s="488" t="s">
        <v>141</v>
      </c>
      <c r="C99" s="728">
        <v>0</v>
      </c>
      <c r="D99" s="2"/>
      <c r="FZ99" s="2"/>
      <c r="GA99" s="2"/>
      <c r="GB99" s="2"/>
    </row>
    <row r="100" spans="2:184" ht="15.75" hidden="1">
      <c r="B100" s="488" t="s">
        <v>151</v>
      </c>
      <c r="C100" s="727">
        <v>12</v>
      </c>
      <c r="D100" s="2"/>
      <c r="FZ100" s="2"/>
      <c r="GA100" s="2"/>
      <c r="GB100" s="2"/>
    </row>
    <row r="101" spans="2:184" ht="15.75" hidden="1">
      <c r="B101" s="488" t="s">
        <v>142</v>
      </c>
      <c r="C101" s="729">
        <f>C100*C98</f>
        <v>36</v>
      </c>
      <c r="D101" s="2"/>
      <c r="FZ101" s="2"/>
      <c r="GA101" s="2"/>
      <c r="GB101" s="2"/>
    </row>
    <row r="102" spans="2:184" ht="15.75" hidden="1">
      <c r="B102" s="488" t="s">
        <v>143</v>
      </c>
      <c r="C102" s="730">
        <v>0</v>
      </c>
      <c r="D102" s="2"/>
      <c r="FZ102" s="2"/>
      <c r="GA102" s="2"/>
      <c r="GB102" s="2"/>
    </row>
    <row r="103" spans="2:184" ht="15.75" hidden="1">
      <c r="B103" s="488" t="s">
        <v>144</v>
      </c>
      <c r="C103" s="1011">
        <v>0.05</v>
      </c>
      <c r="D103" s="2"/>
      <c r="FZ103" s="2"/>
      <c r="GA103" s="2"/>
      <c r="GB103" s="2"/>
    </row>
    <row r="104" spans="2:184" ht="15.75" hidden="1">
      <c r="B104" s="488" t="s">
        <v>145</v>
      </c>
      <c r="C104" s="1004">
        <f>C103+C102</f>
        <v>0.05</v>
      </c>
      <c r="D104" s="2"/>
      <c r="FZ104" s="2"/>
      <c r="GA104" s="2"/>
      <c r="GB104" s="2"/>
    </row>
    <row r="105" spans="2:184" ht="15.75" hidden="1">
      <c r="B105" s="488" t="s">
        <v>150</v>
      </c>
      <c r="C105" s="1005">
        <f>C106*C100</f>
        <v>0</v>
      </c>
      <c r="D105" s="2"/>
      <c r="FZ105" s="2"/>
      <c r="GA105" s="2"/>
      <c r="GB105" s="2"/>
    </row>
    <row r="106" spans="2:184" ht="15.75" hidden="1">
      <c r="B106" s="488" t="s">
        <v>153</v>
      </c>
      <c r="C106" s="1005">
        <f>D112</f>
        <v>0</v>
      </c>
      <c r="D106" s="2"/>
      <c r="FZ106" s="2"/>
      <c r="GA106" s="2"/>
      <c r="GB106" s="2"/>
    </row>
    <row r="107" spans="2:184" ht="16.2" hidden="1" thickBot="1">
      <c r="B107" s="234" t="s">
        <v>324</v>
      </c>
      <c r="C107" s="1006">
        <f>+AVERAGE(C114:BV114)</f>
        <v>0</v>
      </c>
      <c r="D107" s="2"/>
      <c r="FZ107" s="2"/>
      <c r="GA107" s="2"/>
      <c r="GB107" s="2"/>
    </row>
    <row r="108" ht="15.75" hidden="1"/>
    <row r="109" ht="16.2" hidden="1" thickBot="1"/>
    <row r="110" spans="2:183" ht="34.95" customHeight="1" hidden="1" thickBot="1">
      <c r="B110" s="139" t="s">
        <v>146</v>
      </c>
      <c r="C110" s="963">
        <v>1</v>
      </c>
      <c r="D110" s="964">
        <f aca="true" t="shared" si="101" ref="D110:AX110">+C110+1</f>
        <v>2</v>
      </c>
      <c r="E110" s="964">
        <f t="shared" si="101"/>
        <v>3</v>
      </c>
      <c r="F110" s="964">
        <f t="shared" si="101"/>
        <v>4</v>
      </c>
      <c r="G110" s="964">
        <f t="shared" si="101"/>
        <v>5</v>
      </c>
      <c r="H110" s="964">
        <f t="shared" si="101"/>
        <v>6</v>
      </c>
      <c r="I110" s="964">
        <f t="shared" si="101"/>
        <v>7</v>
      </c>
      <c r="J110" s="964">
        <f t="shared" si="101"/>
        <v>8</v>
      </c>
      <c r="K110" s="964">
        <f t="shared" si="101"/>
        <v>9</v>
      </c>
      <c r="L110" s="964">
        <f t="shared" si="101"/>
        <v>10</v>
      </c>
      <c r="M110" s="964">
        <f t="shared" si="101"/>
        <v>11</v>
      </c>
      <c r="N110" s="964">
        <f t="shared" si="101"/>
        <v>12</v>
      </c>
      <c r="O110" s="964">
        <f t="shared" si="101"/>
        <v>13</v>
      </c>
      <c r="P110" s="964">
        <f t="shared" si="101"/>
        <v>14</v>
      </c>
      <c r="Q110" s="964">
        <f t="shared" si="101"/>
        <v>15</v>
      </c>
      <c r="R110" s="964">
        <f t="shared" si="101"/>
        <v>16</v>
      </c>
      <c r="S110" s="964">
        <f t="shared" si="101"/>
        <v>17</v>
      </c>
      <c r="T110" s="964">
        <f t="shared" si="101"/>
        <v>18</v>
      </c>
      <c r="U110" s="964">
        <f t="shared" si="101"/>
        <v>19</v>
      </c>
      <c r="V110" s="964">
        <f t="shared" si="101"/>
        <v>20</v>
      </c>
      <c r="W110" s="964">
        <f t="shared" si="101"/>
        <v>21</v>
      </c>
      <c r="X110" s="964">
        <f t="shared" si="101"/>
        <v>22</v>
      </c>
      <c r="Y110" s="964">
        <f t="shared" si="101"/>
        <v>23</v>
      </c>
      <c r="Z110" s="964">
        <f t="shared" si="101"/>
        <v>24</v>
      </c>
      <c r="AA110" s="964">
        <f t="shared" si="101"/>
        <v>25</v>
      </c>
      <c r="AB110" s="964">
        <f t="shared" si="101"/>
        <v>26</v>
      </c>
      <c r="AC110" s="964">
        <f t="shared" si="101"/>
        <v>27</v>
      </c>
      <c r="AD110" s="964">
        <f t="shared" si="101"/>
        <v>28</v>
      </c>
      <c r="AE110" s="964">
        <f t="shared" si="101"/>
        <v>29</v>
      </c>
      <c r="AF110" s="964">
        <f t="shared" si="101"/>
        <v>30</v>
      </c>
      <c r="AG110" s="964">
        <f t="shared" si="101"/>
        <v>31</v>
      </c>
      <c r="AH110" s="964">
        <f t="shared" si="101"/>
        <v>32</v>
      </c>
      <c r="AI110" s="964">
        <f t="shared" si="101"/>
        <v>33</v>
      </c>
      <c r="AJ110" s="964">
        <f t="shared" si="101"/>
        <v>34</v>
      </c>
      <c r="AK110" s="964">
        <f t="shared" si="101"/>
        <v>35</v>
      </c>
      <c r="AL110" s="964">
        <f t="shared" si="101"/>
        <v>36</v>
      </c>
      <c r="AM110" s="964">
        <f t="shared" si="101"/>
        <v>37</v>
      </c>
      <c r="AN110" s="964">
        <f t="shared" si="101"/>
        <v>38</v>
      </c>
      <c r="AO110" s="964">
        <f t="shared" si="101"/>
        <v>39</v>
      </c>
      <c r="AP110" s="964">
        <f t="shared" si="101"/>
        <v>40</v>
      </c>
      <c r="AQ110" s="964">
        <f t="shared" si="101"/>
        <v>41</v>
      </c>
      <c r="AR110" s="964">
        <f t="shared" si="101"/>
        <v>42</v>
      </c>
      <c r="AS110" s="964">
        <f t="shared" si="101"/>
        <v>43</v>
      </c>
      <c r="AT110" s="964">
        <f t="shared" si="101"/>
        <v>44</v>
      </c>
      <c r="AU110" s="964">
        <f t="shared" si="101"/>
        <v>45</v>
      </c>
      <c r="AV110" s="964">
        <f t="shared" si="101"/>
        <v>46</v>
      </c>
      <c r="AW110" s="964">
        <f t="shared" si="101"/>
        <v>47</v>
      </c>
      <c r="AX110" s="964">
        <f t="shared" si="101"/>
        <v>48</v>
      </c>
      <c r="AY110" s="964"/>
      <c r="AZ110" s="964"/>
      <c r="BA110" s="964"/>
      <c r="BB110" s="964"/>
      <c r="BC110" s="964"/>
      <c r="BD110" s="964"/>
      <c r="BE110" s="964"/>
      <c r="BF110" s="964"/>
      <c r="BG110" s="964"/>
      <c r="BH110" s="964"/>
      <c r="BI110" s="964"/>
      <c r="BJ110" s="964"/>
      <c r="BK110" s="964"/>
      <c r="BL110" s="964"/>
      <c r="BM110" s="964"/>
      <c r="BN110" s="964"/>
      <c r="BO110" s="964"/>
      <c r="BP110" s="964"/>
      <c r="BQ110" s="964"/>
      <c r="BR110" s="964"/>
      <c r="BS110" s="964"/>
      <c r="BT110" s="964"/>
      <c r="BU110" s="964"/>
      <c r="BV110" s="964"/>
      <c r="BW110" s="964"/>
      <c r="BX110" s="964"/>
      <c r="BY110" s="964"/>
      <c r="BZ110" s="964"/>
      <c r="CA110" s="964"/>
      <c r="CB110" s="964"/>
      <c r="CC110" s="964"/>
      <c r="CD110" s="964"/>
      <c r="CE110" s="964"/>
      <c r="CF110" s="964"/>
      <c r="CG110" s="964"/>
      <c r="CH110" s="964"/>
      <c r="CI110" s="964"/>
      <c r="CJ110" s="964"/>
      <c r="CK110" s="964"/>
      <c r="CL110" s="964"/>
      <c r="CM110" s="964"/>
      <c r="CN110" s="964"/>
      <c r="CO110" s="964"/>
      <c r="CP110" s="964"/>
      <c r="CQ110" s="964"/>
      <c r="CR110" s="964"/>
      <c r="CS110" s="964"/>
      <c r="CT110" s="964"/>
      <c r="CU110" s="964"/>
      <c r="CV110" s="964"/>
      <c r="CW110" s="964"/>
      <c r="CX110" s="964"/>
      <c r="CY110" s="964"/>
      <c r="CZ110" s="964"/>
      <c r="DA110" s="964"/>
      <c r="DB110" s="964"/>
      <c r="DC110" s="964"/>
      <c r="DD110" s="964"/>
      <c r="DE110" s="964"/>
      <c r="DF110" s="964"/>
      <c r="DG110" s="964"/>
      <c r="DH110" s="964"/>
      <c r="DI110" s="964"/>
      <c r="DJ110" s="964"/>
      <c r="DK110" s="964"/>
      <c r="DL110" s="964"/>
      <c r="DM110" s="964"/>
      <c r="DN110" s="964"/>
      <c r="DO110" s="964"/>
      <c r="DP110" s="964"/>
      <c r="DQ110" s="964"/>
      <c r="DR110" s="964"/>
      <c r="DS110" s="964"/>
      <c r="DT110" s="964"/>
      <c r="DU110" s="964"/>
      <c r="DV110" s="964"/>
      <c r="DW110" s="964"/>
      <c r="DX110" s="964"/>
      <c r="DY110" s="964"/>
      <c r="DZ110" s="964"/>
      <c r="EA110" s="964"/>
      <c r="EB110" s="964"/>
      <c r="EC110" s="964"/>
      <c r="ED110" s="964"/>
      <c r="EE110" s="964"/>
      <c r="EF110" s="964"/>
      <c r="EG110" s="964"/>
      <c r="EH110" s="964"/>
      <c r="EI110" s="964"/>
      <c r="EJ110" s="964"/>
      <c r="EK110" s="964"/>
      <c r="EL110" s="964"/>
      <c r="EM110" s="964"/>
      <c r="EN110" s="964"/>
      <c r="EO110" s="964"/>
      <c r="EP110" s="964"/>
      <c r="EQ110" s="964"/>
      <c r="ER110" s="964"/>
      <c r="ES110" s="964"/>
      <c r="ET110" s="964"/>
      <c r="EU110" s="964"/>
      <c r="EV110" s="964"/>
      <c r="EW110" s="964"/>
      <c r="EX110" s="964"/>
      <c r="EY110" s="964"/>
      <c r="EZ110" s="964"/>
      <c r="FA110" s="964"/>
      <c r="FB110" s="964"/>
      <c r="FC110" s="964"/>
      <c r="FD110" s="964"/>
      <c r="FE110" s="964"/>
      <c r="FF110" s="964"/>
      <c r="FG110" s="964"/>
      <c r="FH110" s="964"/>
      <c r="FI110" s="964"/>
      <c r="FJ110" s="964"/>
      <c r="FK110" s="964"/>
      <c r="FL110" s="964"/>
      <c r="FM110" s="964"/>
      <c r="FN110" s="964"/>
      <c r="FO110" s="964"/>
      <c r="FP110" s="964"/>
      <c r="FQ110" s="964"/>
      <c r="FR110" s="964"/>
      <c r="FS110" s="964"/>
      <c r="FT110" s="964"/>
      <c r="FU110" s="964"/>
      <c r="FV110" s="964"/>
      <c r="FW110" s="964"/>
      <c r="FX110" s="964"/>
      <c r="FY110" s="964"/>
      <c r="FZ110" s="964"/>
      <c r="GA110" s="965"/>
    </row>
    <row r="111" spans="2:184" ht="34.95" customHeight="1" hidden="1" thickBot="1">
      <c r="B111" s="140" t="s">
        <v>147</v>
      </c>
      <c r="C111" s="402">
        <v>44927</v>
      </c>
      <c r="D111" s="1007">
        <f>+C111+31</f>
        <v>44958</v>
      </c>
      <c r="E111" s="1007">
        <f>+D111+31</f>
        <v>44989</v>
      </c>
      <c r="F111" s="1007">
        <f aca="true" t="shared" si="102" ref="F111:AX111">+E111+31</f>
        <v>45020</v>
      </c>
      <c r="G111" s="1007">
        <f t="shared" si="102"/>
        <v>45051</v>
      </c>
      <c r="H111" s="1007">
        <f t="shared" si="102"/>
        <v>45082</v>
      </c>
      <c r="I111" s="1007">
        <f t="shared" si="102"/>
        <v>45113</v>
      </c>
      <c r="J111" s="1007">
        <f t="shared" si="102"/>
        <v>45144</v>
      </c>
      <c r="K111" s="1007">
        <f t="shared" si="102"/>
        <v>45175</v>
      </c>
      <c r="L111" s="1007">
        <f t="shared" si="102"/>
        <v>45206</v>
      </c>
      <c r="M111" s="1007">
        <f t="shared" si="102"/>
        <v>45237</v>
      </c>
      <c r="N111" s="1007">
        <f t="shared" si="102"/>
        <v>45268</v>
      </c>
      <c r="O111" s="1007">
        <f t="shared" si="102"/>
        <v>45299</v>
      </c>
      <c r="P111" s="1007">
        <f t="shared" si="102"/>
        <v>45330</v>
      </c>
      <c r="Q111" s="1007">
        <f t="shared" si="102"/>
        <v>45361</v>
      </c>
      <c r="R111" s="1007">
        <f t="shared" si="102"/>
        <v>45392</v>
      </c>
      <c r="S111" s="1007">
        <f t="shared" si="102"/>
        <v>45423</v>
      </c>
      <c r="T111" s="1007">
        <f t="shared" si="102"/>
        <v>45454</v>
      </c>
      <c r="U111" s="1007">
        <f t="shared" si="102"/>
        <v>45485</v>
      </c>
      <c r="V111" s="1007">
        <f t="shared" si="102"/>
        <v>45516</v>
      </c>
      <c r="W111" s="1007">
        <f t="shared" si="102"/>
        <v>45547</v>
      </c>
      <c r="X111" s="1007">
        <f t="shared" si="102"/>
        <v>45578</v>
      </c>
      <c r="Y111" s="1007">
        <f t="shared" si="102"/>
        <v>45609</v>
      </c>
      <c r="Z111" s="1007">
        <f t="shared" si="102"/>
        <v>45640</v>
      </c>
      <c r="AA111" s="1007">
        <f t="shared" si="102"/>
        <v>45671</v>
      </c>
      <c r="AB111" s="1007">
        <f t="shared" si="102"/>
        <v>45702</v>
      </c>
      <c r="AC111" s="1007">
        <f t="shared" si="102"/>
        <v>45733</v>
      </c>
      <c r="AD111" s="1007">
        <f t="shared" si="102"/>
        <v>45764</v>
      </c>
      <c r="AE111" s="1007">
        <f t="shared" si="102"/>
        <v>45795</v>
      </c>
      <c r="AF111" s="1007">
        <f t="shared" si="102"/>
        <v>45826</v>
      </c>
      <c r="AG111" s="1007">
        <f t="shared" si="102"/>
        <v>45857</v>
      </c>
      <c r="AH111" s="1007">
        <f t="shared" si="102"/>
        <v>45888</v>
      </c>
      <c r="AI111" s="1007">
        <f t="shared" si="102"/>
        <v>45919</v>
      </c>
      <c r="AJ111" s="1007">
        <f t="shared" si="102"/>
        <v>45950</v>
      </c>
      <c r="AK111" s="1007">
        <f t="shared" si="102"/>
        <v>45981</v>
      </c>
      <c r="AL111" s="1007">
        <f t="shared" si="102"/>
        <v>46012</v>
      </c>
      <c r="AM111" s="1007">
        <f t="shared" si="102"/>
        <v>46043</v>
      </c>
      <c r="AN111" s="1007">
        <f t="shared" si="102"/>
        <v>46074</v>
      </c>
      <c r="AO111" s="1007">
        <f t="shared" si="102"/>
        <v>46105</v>
      </c>
      <c r="AP111" s="1007">
        <f t="shared" si="102"/>
        <v>46136</v>
      </c>
      <c r="AQ111" s="1007">
        <f t="shared" si="102"/>
        <v>46167</v>
      </c>
      <c r="AR111" s="1007">
        <f t="shared" si="102"/>
        <v>46198</v>
      </c>
      <c r="AS111" s="1007">
        <f t="shared" si="102"/>
        <v>46229</v>
      </c>
      <c r="AT111" s="1007">
        <f t="shared" si="102"/>
        <v>46260</v>
      </c>
      <c r="AU111" s="1007">
        <f t="shared" si="102"/>
        <v>46291</v>
      </c>
      <c r="AV111" s="1007">
        <f t="shared" si="102"/>
        <v>46322</v>
      </c>
      <c r="AW111" s="1007">
        <f t="shared" si="102"/>
        <v>46353</v>
      </c>
      <c r="AX111" s="1007">
        <f t="shared" si="102"/>
        <v>46384</v>
      </c>
      <c r="AY111" s="1007"/>
      <c r="AZ111" s="1007"/>
      <c r="BA111" s="1007"/>
      <c r="BB111" s="1007"/>
      <c r="BC111" s="1007"/>
      <c r="BD111" s="1007"/>
      <c r="BE111" s="1007"/>
      <c r="BF111" s="1007"/>
      <c r="BG111" s="1007"/>
      <c r="BH111" s="1007"/>
      <c r="BI111" s="1007"/>
      <c r="BJ111" s="1007"/>
      <c r="BK111" s="1007"/>
      <c r="BL111" s="1007"/>
      <c r="BM111" s="1007"/>
      <c r="BN111" s="1007"/>
      <c r="BO111" s="1007"/>
      <c r="BP111" s="1007"/>
      <c r="BQ111" s="1007"/>
      <c r="BR111" s="1007"/>
      <c r="BS111" s="1007"/>
      <c r="BT111" s="1007"/>
      <c r="BU111" s="1007"/>
      <c r="BV111" s="1007"/>
      <c r="BW111" s="1007"/>
      <c r="BX111" s="1007"/>
      <c r="BY111" s="1007"/>
      <c r="BZ111" s="1007"/>
      <c r="CA111" s="1007"/>
      <c r="CB111" s="1007"/>
      <c r="CC111" s="1007"/>
      <c r="CD111" s="1007"/>
      <c r="CE111" s="1007"/>
      <c r="CF111" s="1007"/>
      <c r="CG111" s="1007"/>
      <c r="CH111" s="1007"/>
      <c r="CI111" s="1007"/>
      <c r="CJ111" s="1007"/>
      <c r="CK111" s="1007"/>
      <c r="CL111" s="1007"/>
      <c r="CM111" s="1007"/>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7"/>
      <c r="DG111" s="1007"/>
      <c r="DH111" s="1007"/>
      <c r="DI111" s="1007"/>
      <c r="DJ111" s="1007"/>
      <c r="DK111" s="1007"/>
      <c r="DL111" s="1007"/>
      <c r="DM111" s="1007"/>
      <c r="DN111" s="1007"/>
      <c r="DO111" s="1007"/>
      <c r="DP111" s="1007"/>
      <c r="DQ111" s="1007"/>
      <c r="DR111" s="1007"/>
      <c r="DS111" s="1007"/>
      <c r="DT111" s="1007"/>
      <c r="DU111" s="1007"/>
      <c r="DV111" s="1007"/>
      <c r="DW111" s="1007"/>
      <c r="DX111" s="1007"/>
      <c r="DY111" s="1007"/>
      <c r="DZ111" s="1007"/>
      <c r="EA111" s="1007"/>
      <c r="EB111" s="1007"/>
      <c r="EC111" s="1007"/>
      <c r="ED111" s="1007"/>
      <c r="EE111" s="1007"/>
      <c r="EF111" s="1007"/>
      <c r="EG111" s="1007"/>
      <c r="EH111" s="1007"/>
      <c r="EI111" s="1007"/>
      <c r="EJ111" s="1007"/>
      <c r="EK111" s="1007"/>
      <c r="EL111" s="1007"/>
      <c r="EM111" s="1007"/>
      <c r="EN111" s="1007"/>
      <c r="EO111" s="1007"/>
      <c r="EP111" s="1007"/>
      <c r="EQ111" s="1007"/>
      <c r="ER111" s="1007"/>
      <c r="ES111" s="1007"/>
      <c r="ET111" s="1007"/>
      <c r="EU111" s="1007"/>
      <c r="EV111" s="1007"/>
      <c r="EW111" s="1007"/>
      <c r="EX111" s="1007"/>
      <c r="EY111" s="1007"/>
      <c r="EZ111" s="1007"/>
      <c r="FA111" s="1007"/>
      <c r="FB111" s="1007"/>
      <c r="FC111" s="1007"/>
      <c r="FD111" s="1007"/>
      <c r="FE111" s="1007"/>
      <c r="FF111" s="1007"/>
      <c r="FG111" s="1007"/>
      <c r="FH111" s="1007"/>
      <c r="FI111" s="1007"/>
      <c r="FJ111" s="1007"/>
      <c r="FK111" s="1007"/>
      <c r="FL111" s="1007"/>
      <c r="FM111" s="1007"/>
      <c r="FN111" s="1007"/>
      <c r="FO111" s="1007"/>
      <c r="FP111" s="1007"/>
      <c r="FQ111" s="1007"/>
      <c r="FR111" s="1007"/>
      <c r="FS111" s="1007"/>
      <c r="FT111" s="1007"/>
      <c r="FU111" s="1007"/>
      <c r="FV111" s="1007"/>
      <c r="FW111" s="1007"/>
      <c r="FX111" s="1007"/>
      <c r="FY111" s="1007"/>
      <c r="FZ111" s="1007"/>
      <c r="GA111" s="1008"/>
      <c r="GB111" s="1009"/>
    </row>
    <row r="112" spans="2:183" ht="34.95" customHeight="1" hidden="1" thickBot="1">
      <c r="B112" s="140" t="s">
        <v>154</v>
      </c>
      <c r="C112" s="1012">
        <f>PMT($C$104/$C$100,$C$101,-$C$97)</f>
        <v>0</v>
      </c>
      <c r="D112" s="141">
        <f>IF(D110&gt;$C$101,0,PMT($C$104/$C$100,$C$101,-$C$97))</f>
        <v>0</v>
      </c>
      <c r="E112" s="141">
        <f aca="true" t="shared" si="103" ref="E112:AX112">IF(E110&gt;$C$101,0,PMT($C$104/$C$100,$C$101,-$C$97))</f>
        <v>0</v>
      </c>
      <c r="F112" s="141">
        <f t="shared" si="103"/>
        <v>0</v>
      </c>
      <c r="G112" s="141">
        <f t="shared" si="103"/>
        <v>0</v>
      </c>
      <c r="H112" s="141">
        <f t="shared" si="103"/>
        <v>0</v>
      </c>
      <c r="I112" s="141">
        <f t="shared" si="103"/>
        <v>0</v>
      </c>
      <c r="J112" s="141">
        <f t="shared" si="103"/>
        <v>0</v>
      </c>
      <c r="K112" s="141">
        <f t="shared" si="103"/>
        <v>0</v>
      </c>
      <c r="L112" s="141">
        <f t="shared" si="103"/>
        <v>0</v>
      </c>
      <c r="M112" s="141">
        <f t="shared" si="103"/>
        <v>0</v>
      </c>
      <c r="N112" s="141">
        <f t="shared" si="103"/>
        <v>0</v>
      </c>
      <c r="O112" s="141">
        <f t="shared" si="103"/>
        <v>0</v>
      </c>
      <c r="P112" s="141">
        <f t="shared" si="103"/>
        <v>0</v>
      </c>
      <c r="Q112" s="141">
        <f t="shared" si="103"/>
        <v>0</v>
      </c>
      <c r="R112" s="141">
        <f t="shared" si="103"/>
        <v>0</v>
      </c>
      <c r="S112" s="141">
        <f t="shared" si="103"/>
        <v>0</v>
      </c>
      <c r="T112" s="141">
        <f t="shared" si="103"/>
        <v>0</v>
      </c>
      <c r="U112" s="141">
        <f t="shared" si="103"/>
        <v>0</v>
      </c>
      <c r="V112" s="141">
        <f t="shared" si="103"/>
        <v>0</v>
      </c>
      <c r="W112" s="141">
        <f t="shared" si="103"/>
        <v>0</v>
      </c>
      <c r="X112" s="141">
        <f t="shared" si="103"/>
        <v>0</v>
      </c>
      <c r="Y112" s="141">
        <f t="shared" si="103"/>
        <v>0</v>
      </c>
      <c r="Z112" s="141">
        <f t="shared" si="103"/>
        <v>0</v>
      </c>
      <c r="AA112" s="141">
        <f t="shared" si="103"/>
        <v>0</v>
      </c>
      <c r="AB112" s="141">
        <f t="shared" si="103"/>
        <v>0</v>
      </c>
      <c r="AC112" s="141">
        <f t="shared" si="103"/>
        <v>0</v>
      </c>
      <c r="AD112" s="141">
        <f t="shared" si="103"/>
        <v>0</v>
      </c>
      <c r="AE112" s="141">
        <f t="shared" si="103"/>
        <v>0</v>
      </c>
      <c r="AF112" s="141">
        <f t="shared" si="103"/>
        <v>0</v>
      </c>
      <c r="AG112" s="141">
        <f t="shared" si="103"/>
        <v>0</v>
      </c>
      <c r="AH112" s="141">
        <f t="shared" si="103"/>
        <v>0</v>
      </c>
      <c r="AI112" s="141">
        <f t="shared" si="103"/>
        <v>0</v>
      </c>
      <c r="AJ112" s="141">
        <f t="shared" si="103"/>
        <v>0</v>
      </c>
      <c r="AK112" s="141">
        <f t="shared" si="103"/>
        <v>0</v>
      </c>
      <c r="AL112" s="141">
        <f t="shared" si="103"/>
        <v>0</v>
      </c>
      <c r="AM112" s="141">
        <f t="shared" si="103"/>
        <v>0</v>
      </c>
      <c r="AN112" s="141">
        <f t="shared" si="103"/>
        <v>0</v>
      </c>
      <c r="AO112" s="141">
        <f t="shared" si="103"/>
        <v>0</v>
      </c>
      <c r="AP112" s="141">
        <f t="shared" si="103"/>
        <v>0</v>
      </c>
      <c r="AQ112" s="141">
        <f t="shared" si="103"/>
        <v>0</v>
      </c>
      <c r="AR112" s="141">
        <f t="shared" si="103"/>
        <v>0</v>
      </c>
      <c r="AS112" s="141">
        <f t="shared" si="103"/>
        <v>0</v>
      </c>
      <c r="AT112" s="141">
        <f t="shared" si="103"/>
        <v>0</v>
      </c>
      <c r="AU112" s="141">
        <f t="shared" si="103"/>
        <v>0</v>
      </c>
      <c r="AV112" s="141">
        <f t="shared" si="103"/>
        <v>0</v>
      </c>
      <c r="AW112" s="141">
        <f t="shared" si="103"/>
        <v>0</v>
      </c>
      <c r="AX112" s="141">
        <f t="shared" si="103"/>
        <v>0</v>
      </c>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41"/>
      <c r="BY112" s="141"/>
      <c r="BZ112" s="141"/>
      <c r="CA112" s="141"/>
      <c r="CB112" s="141"/>
      <c r="CC112" s="141"/>
      <c r="CD112" s="141"/>
      <c r="CE112" s="141"/>
      <c r="CF112" s="141"/>
      <c r="CG112" s="141"/>
      <c r="CH112" s="141"/>
      <c r="CI112" s="141"/>
      <c r="CJ112" s="141"/>
      <c r="CK112" s="141"/>
      <c r="CL112" s="141"/>
      <c r="CM112" s="141"/>
      <c r="CN112" s="141"/>
      <c r="CO112" s="141"/>
      <c r="CP112" s="141"/>
      <c r="CQ112" s="141"/>
      <c r="CR112" s="141"/>
      <c r="CS112" s="141"/>
      <c r="CT112" s="141"/>
      <c r="CU112" s="141"/>
      <c r="CV112" s="141"/>
      <c r="CW112" s="141"/>
      <c r="CX112" s="141"/>
      <c r="CY112" s="141"/>
      <c r="CZ112" s="141"/>
      <c r="DA112" s="141"/>
      <c r="DB112" s="141"/>
      <c r="DC112" s="141"/>
      <c r="DD112" s="141"/>
      <c r="DE112" s="141"/>
      <c r="DF112" s="141"/>
      <c r="DG112" s="141"/>
      <c r="DH112" s="141"/>
      <c r="DI112" s="141"/>
      <c r="DJ112" s="141"/>
      <c r="DK112" s="141"/>
      <c r="DL112" s="141"/>
      <c r="DM112" s="141"/>
      <c r="DN112" s="141"/>
      <c r="DO112" s="141"/>
      <c r="DP112" s="141"/>
      <c r="DQ112" s="141"/>
      <c r="DR112" s="141"/>
      <c r="DS112" s="141"/>
      <c r="DT112" s="141"/>
      <c r="DU112" s="141"/>
      <c r="DV112" s="141"/>
      <c r="DW112" s="141"/>
      <c r="DX112" s="141"/>
      <c r="DY112" s="141"/>
      <c r="DZ112" s="141"/>
      <c r="EA112" s="141"/>
      <c r="EB112" s="141"/>
      <c r="EC112" s="141"/>
      <c r="ED112" s="141"/>
      <c r="EE112" s="141"/>
      <c r="EF112" s="141"/>
      <c r="EG112" s="141"/>
      <c r="EH112" s="141"/>
      <c r="EI112" s="141"/>
      <c r="EJ112" s="141"/>
      <c r="EK112" s="141"/>
      <c r="EL112" s="141"/>
      <c r="EM112" s="141"/>
      <c r="EN112" s="141"/>
      <c r="EO112" s="141"/>
      <c r="EP112" s="141"/>
      <c r="EQ112" s="141"/>
      <c r="ER112" s="141"/>
      <c r="ES112" s="141"/>
      <c r="ET112" s="141"/>
      <c r="EU112" s="141"/>
      <c r="EV112" s="141"/>
      <c r="EW112" s="141"/>
      <c r="EX112" s="141"/>
      <c r="EY112" s="141"/>
      <c r="EZ112" s="141"/>
      <c r="FA112" s="141"/>
      <c r="FB112" s="141"/>
      <c r="FC112" s="141"/>
      <c r="FD112" s="141"/>
      <c r="FE112" s="141"/>
      <c r="FF112" s="141"/>
      <c r="FG112" s="141"/>
      <c r="FH112" s="141"/>
      <c r="FI112" s="141"/>
      <c r="FJ112" s="141"/>
      <c r="FK112" s="141"/>
      <c r="FL112" s="141"/>
      <c r="FM112" s="141"/>
      <c r="FN112" s="141"/>
      <c r="FO112" s="141"/>
      <c r="FP112" s="141"/>
      <c r="FQ112" s="141"/>
      <c r="FR112" s="141"/>
      <c r="FS112" s="141"/>
      <c r="FT112" s="141"/>
      <c r="FU112" s="141"/>
      <c r="FV112" s="141"/>
      <c r="FW112" s="141"/>
      <c r="FX112" s="141"/>
      <c r="FY112" s="141"/>
      <c r="FZ112" s="141"/>
      <c r="GA112" s="142"/>
    </row>
    <row r="113" spans="2:183" ht="34.95" customHeight="1" hidden="1" thickBot="1">
      <c r="B113" s="140" t="s">
        <v>148</v>
      </c>
      <c r="C113" s="141">
        <f>+PPMT($C$104/$C$100,C110,$C$101,-$C$97)</f>
        <v>0</v>
      </c>
      <c r="D113" s="141">
        <f>IF(D110&gt;$C$101,0,PPMT($C$104/$C$100,D110,$C$101,-$C$97))</f>
        <v>0</v>
      </c>
      <c r="E113" s="141">
        <f aca="true" t="shared" si="104" ref="E113:AX113">IF(E110&gt;$C$101,0,PPMT($C$104/$C$100,E110,$C$101,-$C$97))</f>
        <v>0</v>
      </c>
      <c r="F113" s="141">
        <f t="shared" si="104"/>
        <v>0</v>
      </c>
      <c r="G113" s="141">
        <f t="shared" si="104"/>
        <v>0</v>
      </c>
      <c r="H113" s="141">
        <f t="shared" si="104"/>
        <v>0</v>
      </c>
      <c r="I113" s="141">
        <f t="shared" si="104"/>
        <v>0</v>
      </c>
      <c r="J113" s="141">
        <f t="shared" si="104"/>
        <v>0</v>
      </c>
      <c r="K113" s="141">
        <f t="shared" si="104"/>
        <v>0</v>
      </c>
      <c r="L113" s="141">
        <f t="shared" si="104"/>
        <v>0</v>
      </c>
      <c r="M113" s="141">
        <f t="shared" si="104"/>
        <v>0</v>
      </c>
      <c r="N113" s="141">
        <f t="shared" si="104"/>
        <v>0</v>
      </c>
      <c r="O113" s="141">
        <f t="shared" si="104"/>
        <v>0</v>
      </c>
      <c r="P113" s="141">
        <f t="shared" si="104"/>
        <v>0</v>
      </c>
      <c r="Q113" s="141">
        <f t="shared" si="104"/>
        <v>0</v>
      </c>
      <c r="R113" s="141">
        <f t="shared" si="104"/>
        <v>0</v>
      </c>
      <c r="S113" s="141">
        <f t="shared" si="104"/>
        <v>0</v>
      </c>
      <c r="T113" s="141">
        <f t="shared" si="104"/>
        <v>0</v>
      </c>
      <c r="U113" s="141">
        <f t="shared" si="104"/>
        <v>0</v>
      </c>
      <c r="V113" s="141">
        <f t="shared" si="104"/>
        <v>0</v>
      </c>
      <c r="W113" s="141">
        <f t="shared" si="104"/>
        <v>0</v>
      </c>
      <c r="X113" s="141">
        <f t="shared" si="104"/>
        <v>0</v>
      </c>
      <c r="Y113" s="141">
        <f t="shared" si="104"/>
        <v>0</v>
      </c>
      <c r="Z113" s="141">
        <f t="shared" si="104"/>
        <v>0</v>
      </c>
      <c r="AA113" s="141">
        <f t="shared" si="104"/>
        <v>0</v>
      </c>
      <c r="AB113" s="141">
        <f t="shared" si="104"/>
        <v>0</v>
      </c>
      <c r="AC113" s="141">
        <f t="shared" si="104"/>
        <v>0</v>
      </c>
      <c r="AD113" s="141">
        <f t="shared" si="104"/>
        <v>0</v>
      </c>
      <c r="AE113" s="141">
        <f t="shared" si="104"/>
        <v>0</v>
      </c>
      <c r="AF113" s="141">
        <f t="shared" si="104"/>
        <v>0</v>
      </c>
      <c r="AG113" s="141">
        <f t="shared" si="104"/>
        <v>0</v>
      </c>
      <c r="AH113" s="141">
        <f t="shared" si="104"/>
        <v>0</v>
      </c>
      <c r="AI113" s="141">
        <f t="shared" si="104"/>
        <v>0</v>
      </c>
      <c r="AJ113" s="141">
        <f t="shared" si="104"/>
        <v>0</v>
      </c>
      <c r="AK113" s="141">
        <f t="shared" si="104"/>
        <v>0</v>
      </c>
      <c r="AL113" s="141">
        <f t="shared" si="104"/>
        <v>0</v>
      </c>
      <c r="AM113" s="141">
        <f t="shared" si="104"/>
        <v>0</v>
      </c>
      <c r="AN113" s="141">
        <f t="shared" si="104"/>
        <v>0</v>
      </c>
      <c r="AO113" s="141">
        <f t="shared" si="104"/>
        <v>0</v>
      </c>
      <c r="AP113" s="141">
        <f t="shared" si="104"/>
        <v>0</v>
      </c>
      <c r="AQ113" s="141">
        <f t="shared" si="104"/>
        <v>0</v>
      </c>
      <c r="AR113" s="141">
        <f t="shared" si="104"/>
        <v>0</v>
      </c>
      <c r="AS113" s="141">
        <f t="shared" si="104"/>
        <v>0</v>
      </c>
      <c r="AT113" s="141">
        <f t="shared" si="104"/>
        <v>0</v>
      </c>
      <c r="AU113" s="141">
        <f t="shared" si="104"/>
        <v>0</v>
      </c>
      <c r="AV113" s="141">
        <f t="shared" si="104"/>
        <v>0</v>
      </c>
      <c r="AW113" s="141">
        <f t="shared" si="104"/>
        <v>0</v>
      </c>
      <c r="AX113" s="141">
        <f t="shared" si="104"/>
        <v>0</v>
      </c>
      <c r="AY113" s="141"/>
      <c r="AZ113" s="141"/>
      <c r="BA113" s="141"/>
      <c r="BB113" s="141"/>
      <c r="BC113" s="141"/>
      <c r="BD113" s="141"/>
      <c r="BE113" s="141"/>
      <c r="BF113" s="141"/>
      <c r="BG113" s="141"/>
      <c r="BH113" s="141"/>
      <c r="BI113" s="141"/>
      <c r="BJ113" s="141"/>
      <c r="BK113" s="141"/>
      <c r="BL113" s="141"/>
      <c r="BM113" s="141"/>
      <c r="BN113" s="141"/>
      <c r="BO113" s="141"/>
      <c r="BP113" s="141"/>
      <c r="BQ113" s="141"/>
      <c r="BR113" s="141"/>
      <c r="BS113" s="141"/>
      <c r="BT113" s="141"/>
      <c r="BU113" s="141"/>
      <c r="BV113" s="141"/>
      <c r="BW113" s="141"/>
      <c r="BX113" s="141"/>
      <c r="BY113" s="141"/>
      <c r="BZ113" s="141"/>
      <c r="CA113" s="141"/>
      <c r="CB113" s="141"/>
      <c r="CC113" s="141"/>
      <c r="CD113" s="141"/>
      <c r="CE113" s="141"/>
      <c r="CF113" s="141"/>
      <c r="CG113" s="141"/>
      <c r="CH113" s="141"/>
      <c r="CI113" s="141"/>
      <c r="CJ113" s="141"/>
      <c r="CK113" s="141"/>
      <c r="CL113" s="141"/>
      <c r="CM113" s="141"/>
      <c r="CN113" s="141"/>
      <c r="CO113" s="141"/>
      <c r="CP113" s="141"/>
      <c r="CQ113" s="141"/>
      <c r="CR113" s="141"/>
      <c r="CS113" s="141"/>
      <c r="CT113" s="141"/>
      <c r="CU113" s="141"/>
      <c r="CV113" s="141"/>
      <c r="CW113" s="141"/>
      <c r="CX113" s="141"/>
      <c r="CY113" s="141"/>
      <c r="CZ113" s="141"/>
      <c r="DA113" s="141"/>
      <c r="DB113" s="141"/>
      <c r="DC113" s="141"/>
      <c r="DD113" s="141"/>
      <c r="DE113" s="141"/>
      <c r="DF113" s="141"/>
      <c r="DG113" s="141"/>
      <c r="DH113" s="141"/>
      <c r="DI113" s="141"/>
      <c r="DJ113" s="141"/>
      <c r="DK113" s="141"/>
      <c r="DL113" s="141"/>
      <c r="DM113" s="141"/>
      <c r="DN113" s="141"/>
      <c r="DO113" s="141"/>
      <c r="DP113" s="141"/>
      <c r="DQ113" s="141"/>
      <c r="DR113" s="141"/>
      <c r="DS113" s="141"/>
      <c r="DT113" s="141"/>
      <c r="DU113" s="141"/>
      <c r="DV113" s="141"/>
      <c r="DW113" s="141"/>
      <c r="DX113" s="141"/>
      <c r="DY113" s="141"/>
      <c r="DZ113" s="141"/>
      <c r="EA113" s="141"/>
      <c r="EB113" s="141"/>
      <c r="EC113" s="141"/>
      <c r="ED113" s="141"/>
      <c r="EE113" s="141"/>
      <c r="EF113" s="141"/>
      <c r="EG113" s="141"/>
      <c r="EH113" s="141"/>
      <c r="EI113" s="141"/>
      <c r="EJ113" s="141"/>
      <c r="EK113" s="141"/>
      <c r="EL113" s="141"/>
      <c r="EM113" s="141"/>
      <c r="EN113" s="141"/>
      <c r="EO113" s="141"/>
      <c r="EP113" s="141"/>
      <c r="EQ113" s="141"/>
      <c r="ER113" s="141"/>
      <c r="ES113" s="141"/>
      <c r="ET113" s="141"/>
      <c r="EU113" s="141"/>
      <c r="EV113" s="141"/>
      <c r="EW113" s="141"/>
      <c r="EX113" s="141"/>
      <c r="EY113" s="141"/>
      <c r="EZ113" s="141"/>
      <c r="FA113" s="141"/>
      <c r="FB113" s="141"/>
      <c r="FC113" s="141"/>
      <c r="FD113" s="141"/>
      <c r="FE113" s="141"/>
      <c r="FF113" s="141"/>
      <c r="FG113" s="141"/>
      <c r="FH113" s="141"/>
      <c r="FI113" s="141"/>
      <c r="FJ113" s="141"/>
      <c r="FK113" s="141"/>
      <c r="FL113" s="141"/>
      <c r="FM113" s="141"/>
      <c r="FN113" s="141"/>
      <c r="FO113" s="141"/>
      <c r="FP113" s="141"/>
      <c r="FQ113" s="141"/>
      <c r="FR113" s="141"/>
      <c r="FS113" s="141"/>
      <c r="FT113" s="141"/>
      <c r="FU113" s="141"/>
      <c r="FV113" s="141"/>
      <c r="FW113" s="141"/>
      <c r="FX113" s="141"/>
      <c r="FY113" s="141"/>
      <c r="FZ113" s="141"/>
      <c r="GA113" s="142"/>
    </row>
    <row r="114" spans="2:183" ht="34.95" customHeight="1" hidden="1" thickBot="1">
      <c r="B114" s="140" t="s">
        <v>149</v>
      </c>
      <c r="C114" s="141">
        <f>IPMT($C$104/$C$100,C110,$C$101,-$C$97)</f>
        <v>0</v>
      </c>
      <c r="D114" s="141">
        <f>IF(D110&gt;$C$101,0,IPMT($C$104/$C$100,D110,$C$101,-$C$97))</f>
        <v>0</v>
      </c>
      <c r="E114" s="141">
        <f aca="true" t="shared" si="105" ref="E114:AX114">IF(E110&gt;$C$101,0,IPMT($C$104/$C$100,E110,$C$101,-$C$97))</f>
        <v>0</v>
      </c>
      <c r="F114" s="141">
        <f t="shared" si="105"/>
        <v>0</v>
      </c>
      <c r="G114" s="141">
        <f t="shared" si="105"/>
        <v>0</v>
      </c>
      <c r="H114" s="141">
        <f t="shared" si="105"/>
        <v>0</v>
      </c>
      <c r="I114" s="141">
        <f t="shared" si="105"/>
        <v>0</v>
      </c>
      <c r="J114" s="141">
        <f t="shared" si="105"/>
        <v>0</v>
      </c>
      <c r="K114" s="141">
        <f t="shared" si="105"/>
        <v>0</v>
      </c>
      <c r="L114" s="141">
        <f t="shared" si="105"/>
        <v>0</v>
      </c>
      <c r="M114" s="141">
        <f t="shared" si="105"/>
        <v>0</v>
      </c>
      <c r="N114" s="141">
        <f t="shared" si="105"/>
        <v>0</v>
      </c>
      <c r="O114" s="141">
        <f t="shared" si="105"/>
        <v>0</v>
      </c>
      <c r="P114" s="141">
        <f t="shared" si="105"/>
        <v>0</v>
      </c>
      <c r="Q114" s="141">
        <f t="shared" si="105"/>
        <v>0</v>
      </c>
      <c r="R114" s="141">
        <f t="shared" si="105"/>
        <v>0</v>
      </c>
      <c r="S114" s="141">
        <f t="shared" si="105"/>
        <v>0</v>
      </c>
      <c r="T114" s="141">
        <f t="shared" si="105"/>
        <v>0</v>
      </c>
      <c r="U114" s="141">
        <f t="shared" si="105"/>
        <v>0</v>
      </c>
      <c r="V114" s="141">
        <f t="shared" si="105"/>
        <v>0</v>
      </c>
      <c r="W114" s="141">
        <f t="shared" si="105"/>
        <v>0</v>
      </c>
      <c r="X114" s="141">
        <f t="shared" si="105"/>
        <v>0</v>
      </c>
      <c r="Y114" s="141">
        <f t="shared" si="105"/>
        <v>0</v>
      </c>
      <c r="Z114" s="141">
        <f t="shared" si="105"/>
        <v>0</v>
      </c>
      <c r="AA114" s="141">
        <f t="shared" si="105"/>
        <v>0</v>
      </c>
      <c r="AB114" s="141">
        <f t="shared" si="105"/>
        <v>0</v>
      </c>
      <c r="AC114" s="141">
        <f t="shared" si="105"/>
        <v>0</v>
      </c>
      <c r="AD114" s="141">
        <f t="shared" si="105"/>
        <v>0</v>
      </c>
      <c r="AE114" s="141">
        <f t="shared" si="105"/>
        <v>0</v>
      </c>
      <c r="AF114" s="141">
        <f t="shared" si="105"/>
        <v>0</v>
      </c>
      <c r="AG114" s="141">
        <f t="shared" si="105"/>
        <v>0</v>
      </c>
      <c r="AH114" s="141">
        <f t="shared" si="105"/>
        <v>0</v>
      </c>
      <c r="AI114" s="141">
        <f t="shared" si="105"/>
        <v>0</v>
      </c>
      <c r="AJ114" s="141">
        <f t="shared" si="105"/>
        <v>0</v>
      </c>
      <c r="AK114" s="141">
        <f t="shared" si="105"/>
        <v>0</v>
      </c>
      <c r="AL114" s="141">
        <f t="shared" si="105"/>
        <v>0</v>
      </c>
      <c r="AM114" s="141">
        <f t="shared" si="105"/>
        <v>0</v>
      </c>
      <c r="AN114" s="141">
        <f t="shared" si="105"/>
        <v>0</v>
      </c>
      <c r="AO114" s="141">
        <f t="shared" si="105"/>
        <v>0</v>
      </c>
      <c r="AP114" s="141">
        <f t="shared" si="105"/>
        <v>0</v>
      </c>
      <c r="AQ114" s="141">
        <f t="shared" si="105"/>
        <v>0</v>
      </c>
      <c r="AR114" s="141">
        <f t="shared" si="105"/>
        <v>0</v>
      </c>
      <c r="AS114" s="141">
        <f t="shared" si="105"/>
        <v>0</v>
      </c>
      <c r="AT114" s="141">
        <f t="shared" si="105"/>
        <v>0</v>
      </c>
      <c r="AU114" s="141">
        <f t="shared" si="105"/>
        <v>0</v>
      </c>
      <c r="AV114" s="141">
        <f t="shared" si="105"/>
        <v>0</v>
      </c>
      <c r="AW114" s="141">
        <f t="shared" si="105"/>
        <v>0</v>
      </c>
      <c r="AX114" s="141">
        <f t="shared" si="105"/>
        <v>0</v>
      </c>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41"/>
      <c r="BY114" s="141"/>
      <c r="BZ114" s="141"/>
      <c r="CA114" s="141"/>
      <c r="CB114" s="141"/>
      <c r="CC114" s="141"/>
      <c r="CD114" s="141"/>
      <c r="CE114" s="141"/>
      <c r="CF114" s="141"/>
      <c r="CG114" s="141"/>
      <c r="CH114" s="141"/>
      <c r="CI114" s="141"/>
      <c r="CJ114" s="141"/>
      <c r="CK114" s="141"/>
      <c r="CL114" s="141"/>
      <c r="CM114" s="141"/>
      <c r="CN114" s="141"/>
      <c r="CO114" s="141"/>
      <c r="CP114" s="141"/>
      <c r="CQ114" s="141"/>
      <c r="CR114" s="141"/>
      <c r="CS114" s="141"/>
      <c r="CT114" s="141"/>
      <c r="CU114" s="141"/>
      <c r="CV114" s="141"/>
      <c r="CW114" s="141"/>
      <c r="CX114" s="141"/>
      <c r="CY114" s="141"/>
      <c r="CZ114" s="141"/>
      <c r="DA114" s="141"/>
      <c r="DB114" s="141"/>
      <c r="DC114" s="141"/>
      <c r="DD114" s="141"/>
      <c r="DE114" s="141"/>
      <c r="DF114" s="141"/>
      <c r="DG114" s="141"/>
      <c r="DH114" s="141"/>
      <c r="DI114" s="141"/>
      <c r="DJ114" s="141"/>
      <c r="DK114" s="141"/>
      <c r="DL114" s="141"/>
      <c r="DM114" s="141"/>
      <c r="DN114" s="141"/>
      <c r="DO114" s="141"/>
      <c r="DP114" s="141"/>
      <c r="DQ114" s="141"/>
      <c r="DR114" s="141"/>
      <c r="DS114" s="141"/>
      <c r="DT114" s="141"/>
      <c r="DU114" s="141"/>
      <c r="DV114" s="141"/>
      <c r="DW114" s="141"/>
      <c r="DX114" s="141"/>
      <c r="DY114" s="141"/>
      <c r="DZ114" s="141"/>
      <c r="EA114" s="141"/>
      <c r="EB114" s="141"/>
      <c r="EC114" s="141"/>
      <c r="ED114" s="141"/>
      <c r="EE114" s="141"/>
      <c r="EF114" s="141"/>
      <c r="EG114" s="141"/>
      <c r="EH114" s="141"/>
      <c r="EI114" s="141"/>
      <c r="EJ114" s="141"/>
      <c r="EK114" s="141"/>
      <c r="EL114" s="141"/>
      <c r="EM114" s="141"/>
      <c r="EN114" s="141"/>
      <c r="EO114" s="141"/>
      <c r="EP114" s="141"/>
      <c r="EQ114" s="141"/>
      <c r="ER114" s="141"/>
      <c r="ES114" s="141"/>
      <c r="ET114" s="141"/>
      <c r="EU114" s="141"/>
      <c r="EV114" s="141"/>
      <c r="EW114" s="141"/>
      <c r="EX114" s="141"/>
      <c r="EY114" s="141"/>
      <c r="EZ114" s="141"/>
      <c r="FA114" s="141"/>
      <c r="FB114" s="141"/>
      <c r="FC114" s="141"/>
      <c r="FD114" s="141"/>
      <c r="FE114" s="141"/>
      <c r="FF114" s="141"/>
      <c r="FG114" s="141"/>
      <c r="FH114" s="141"/>
      <c r="FI114" s="141"/>
      <c r="FJ114" s="141"/>
      <c r="FK114" s="141"/>
      <c r="FL114" s="141"/>
      <c r="FM114" s="141"/>
      <c r="FN114" s="141"/>
      <c r="FO114" s="141"/>
      <c r="FP114" s="141"/>
      <c r="FQ114" s="141"/>
      <c r="FR114" s="141"/>
      <c r="FS114" s="141"/>
      <c r="FT114" s="141"/>
      <c r="FU114" s="141"/>
      <c r="FV114" s="141"/>
      <c r="FW114" s="141"/>
      <c r="FX114" s="141"/>
      <c r="FY114" s="141"/>
      <c r="FZ114" s="141"/>
      <c r="GA114" s="143"/>
    </row>
    <row r="115" spans="2:183" ht="34.95" customHeight="1" hidden="1" thickBot="1">
      <c r="B115" s="144" t="s">
        <v>152</v>
      </c>
      <c r="C115" s="141">
        <f>+C97-C113</f>
        <v>0</v>
      </c>
      <c r="D115" s="141">
        <f>IF(D110&gt;$C$101,0,C115-D113)</f>
        <v>0</v>
      </c>
      <c r="E115" s="141">
        <f aca="true" t="shared" si="106" ref="E115:AX115">IF(E110&gt;$C$101,0,D115-E113)</f>
        <v>0</v>
      </c>
      <c r="F115" s="141">
        <f t="shared" si="106"/>
        <v>0</v>
      </c>
      <c r="G115" s="141">
        <f t="shared" si="106"/>
        <v>0</v>
      </c>
      <c r="H115" s="141">
        <f t="shared" si="106"/>
        <v>0</v>
      </c>
      <c r="I115" s="141">
        <f t="shared" si="106"/>
        <v>0</v>
      </c>
      <c r="J115" s="141">
        <f t="shared" si="106"/>
        <v>0</v>
      </c>
      <c r="K115" s="141">
        <f t="shared" si="106"/>
        <v>0</v>
      </c>
      <c r="L115" s="141">
        <f t="shared" si="106"/>
        <v>0</v>
      </c>
      <c r="M115" s="141">
        <f t="shared" si="106"/>
        <v>0</v>
      </c>
      <c r="N115" s="141">
        <f t="shared" si="106"/>
        <v>0</v>
      </c>
      <c r="O115" s="141">
        <f t="shared" si="106"/>
        <v>0</v>
      </c>
      <c r="P115" s="141">
        <f t="shared" si="106"/>
        <v>0</v>
      </c>
      <c r="Q115" s="141">
        <f t="shared" si="106"/>
        <v>0</v>
      </c>
      <c r="R115" s="141">
        <f t="shared" si="106"/>
        <v>0</v>
      </c>
      <c r="S115" s="141">
        <f t="shared" si="106"/>
        <v>0</v>
      </c>
      <c r="T115" s="141">
        <f t="shared" si="106"/>
        <v>0</v>
      </c>
      <c r="U115" s="141">
        <f t="shared" si="106"/>
        <v>0</v>
      </c>
      <c r="V115" s="141">
        <f t="shared" si="106"/>
        <v>0</v>
      </c>
      <c r="W115" s="141">
        <f t="shared" si="106"/>
        <v>0</v>
      </c>
      <c r="X115" s="141">
        <f t="shared" si="106"/>
        <v>0</v>
      </c>
      <c r="Y115" s="141">
        <f t="shared" si="106"/>
        <v>0</v>
      </c>
      <c r="Z115" s="141">
        <f t="shared" si="106"/>
        <v>0</v>
      </c>
      <c r="AA115" s="141">
        <f t="shared" si="106"/>
        <v>0</v>
      </c>
      <c r="AB115" s="141">
        <f t="shared" si="106"/>
        <v>0</v>
      </c>
      <c r="AC115" s="141">
        <f t="shared" si="106"/>
        <v>0</v>
      </c>
      <c r="AD115" s="141">
        <f t="shared" si="106"/>
        <v>0</v>
      </c>
      <c r="AE115" s="141">
        <f t="shared" si="106"/>
        <v>0</v>
      </c>
      <c r="AF115" s="141">
        <f t="shared" si="106"/>
        <v>0</v>
      </c>
      <c r="AG115" s="141">
        <f t="shared" si="106"/>
        <v>0</v>
      </c>
      <c r="AH115" s="141">
        <f t="shared" si="106"/>
        <v>0</v>
      </c>
      <c r="AI115" s="141">
        <f t="shared" si="106"/>
        <v>0</v>
      </c>
      <c r="AJ115" s="141">
        <f t="shared" si="106"/>
        <v>0</v>
      </c>
      <c r="AK115" s="141">
        <f t="shared" si="106"/>
        <v>0</v>
      </c>
      <c r="AL115" s="141">
        <f t="shared" si="106"/>
        <v>0</v>
      </c>
      <c r="AM115" s="141">
        <f t="shared" si="106"/>
        <v>0</v>
      </c>
      <c r="AN115" s="141">
        <f t="shared" si="106"/>
        <v>0</v>
      </c>
      <c r="AO115" s="141">
        <f t="shared" si="106"/>
        <v>0</v>
      </c>
      <c r="AP115" s="141">
        <f t="shared" si="106"/>
        <v>0</v>
      </c>
      <c r="AQ115" s="141">
        <f t="shared" si="106"/>
        <v>0</v>
      </c>
      <c r="AR115" s="141">
        <f t="shared" si="106"/>
        <v>0</v>
      </c>
      <c r="AS115" s="141">
        <f t="shared" si="106"/>
        <v>0</v>
      </c>
      <c r="AT115" s="141">
        <f t="shared" si="106"/>
        <v>0</v>
      </c>
      <c r="AU115" s="141">
        <f t="shared" si="106"/>
        <v>0</v>
      </c>
      <c r="AV115" s="141">
        <f t="shared" si="106"/>
        <v>0</v>
      </c>
      <c r="AW115" s="141">
        <f t="shared" si="106"/>
        <v>0</v>
      </c>
      <c r="AX115" s="141">
        <f t="shared" si="106"/>
        <v>0</v>
      </c>
      <c r="AY115" s="141"/>
      <c r="AZ115" s="141"/>
      <c r="BA115" s="141"/>
      <c r="BB115" s="141"/>
      <c r="BC115" s="141"/>
      <c r="BD115" s="141"/>
      <c r="BE115" s="141"/>
      <c r="BF115" s="141"/>
      <c r="BG115" s="141"/>
      <c r="BH115" s="141"/>
      <c r="BI115" s="141"/>
      <c r="BJ115" s="141"/>
      <c r="BK115" s="141"/>
      <c r="BL115" s="141"/>
      <c r="BM115" s="141"/>
      <c r="BN115" s="141"/>
      <c r="BO115" s="141"/>
      <c r="BP115" s="141"/>
      <c r="BQ115" s="141"/>
      <c r="BR115" s="141"/>
      <c r="BS115" s="141"/>
      <c r="BT115" s="141"/>
      <c r="BU115" s="141"/>
      <c r="BV115" s="141"/>
      <c r="BW115" s="141"/>
      <c r="BX115" s="141"/>
      <c r="BY115" s="141"/>
      <c r="BZ115" s="141"/>
      <c r="CA115" s="141"/>
      <c r="CB115" s="141"/>
      <c r="CC115" s="141"/>
      <c r="CD115" s="141"/>
      <c r="CE115" s="141"/>
      <c r="CF115" s="141"/>
      <c r="CG115" s="141"/>
      <c r="CH115" s="141"/>
      <c r="CI115" s="141"/>
      <c r="CJ115" s="141"/>
      <c r="CK115" s="141"/>
      <c r="CL115" s="141"/>
      <c r="CM115" s="141"/>
      <c r="CN115" s="141"/>
      <c r="CO115" s="141"/>
      <c r="CP115" s="141"/>
      <c r="CQ115" s="141"/>
      <c r="CR115" s="141"/>
      <c r="CS115" s="141"/>
      <c r="CT115" s="141"/>
      <c r="CU115" s="141"/>
      <c r="CV115" s="141"/>
      <c r="CW115" s="141"/>
      <c r="CX115" s="141"/>
      <c r="CY115" s="141"/>
      <c r="CZ115" s="141"/>
      <c r="DA115" s="141"/>
      <c r="DB115" s="141"/>
      <c r="DC115" s="141"/>
      <c r="DD115" s="141"/>
      <c r="DE115" s="141"/>
      <c r="DF115" s="141"/>
      <c r="DG115" s="141"/>
      <c r="DH115" s="141"/>
      <c r="DI115" s="141"/>
      <c r="DJ115" s="141"/>
      <c r="DK115" s="141"/>
      <c r="DL115" s="141"/>
      <c r="DM115" s="141"/>
      <c r="DN115" s="141"/>
      <c r="DO115" s="141"/>
      <c r="DP115" s="141"/>
      <c r="DQ115" s="141"/>
      <c r="DR115" s="141"/>
      <c r="DS115" s="141"/>
      <c r="DT115" s="141"/>
      <c r="DU115" s="141"/>
      <c r="DV115" s="141"/>
      <c r="DW115" s="141"/>
      <c r="DX115" s="141"/>
      <c r="DY115" s="141"/>
      <c r="DZ115" s="141"/>
      <c r="EA115" s="141"/>
      <c r="EB115" s="141"/>
      <c r="EC115" s="141"/>
      <c r="ED115" s="141"/>
      <c r="EE115" s="141"/>
      <c r="EF115" s="141"/>
      <c r="EG115" s="141"/>
      <c r="EH115" s="141"/>
      <c r="EI115" s="141"/>
      <c r="EJ115" s="141"/>
      <c r="EK115" s="141"/>
      <c r="EL115" s="141"/>
      <c r="EM115" s="141"/>
      <c r="EN115" s="141"/>
      <c r="EO115" s="141"/>
      <c r="EP115" s="141"/>
      <c r="EQ115" s="141"/>
      <c r="ER115" s="141"/>
      <c r="ES115" s="141"/>
      <c r="ET115" s="141"/>
      <c r="EU115" s="141"/>
      <c r="EV115" s="141"/>
      <c r="EW115" s="141"/>
      <c r="EX115" s="141"/>
      <c r="EY115" s="141"/>
      <c r="EZ115" s="141"/>
      <c r="FA115" s="141"/>
      <c r="FB115" s="141"/>
      <c r="FC115" s="141"/>
      <c r="FD115" s="141"/>
      <c r="FE115" s="141"/>
      <c r="FF115" s="141"/>
      <c r="FG115" s="141"/>
      <c r="FH115" s="141"/>
      <c r="FI115" s="141"/>
      <c r="FJ115" s="141"/>
      <c r="FK115" s="141"/>
      <c r="FL115" s="141"/>
      <c r="FM115" s="141"/>
      <c r="FN115" s="141"/>
      <c r="FO115" s="141"/>
      <c r="FP115" s="141"/>
      <c r="FQ115" s="141"/>
      <c r="FR115" s="141"/>
      <c r="FS115" s="141"/>
      <c r="FT115" s="141"/>
      <c r="FU115" s="141"/>
      <c r="FV115" s="141"/>
      <c r="FW115" s="141"/>
      <c r="FX115" s="141"/>
      <c r="FY115" s="141"/>
      <c r="FZ115" s="141"/>
      <c r="GA115" s="143"/>
    </row>
    <row r="116" ht="34.95" customHeight="1" hidden="1" thickBot="1"/>
    <row r="117" spans="1:184" ht="15.75" hidden="1">
      <c r="A117" s="962">
        <v>1</v>
      </c>
      <c r="B117" s="1530">
        <f>1+B95</f>
        <v>2024</v>
      </c>
      <c r="C117" s="1532"/>
      <c r="D117" s="5"/>
      <c r="E117" s="962"/>
      <c r="FZ117" s="2"/>
      <c r="GA117" s="2"/>
      <c r="GB117" s="2"/>
    </row>
    <row r="118" spans="2:184" ht="16.2" hidden="1" thickBot="1">
      <c r="B118" s="1627"/>
      <c r="C118" s="1628"/>
      <c r="D118" s="5"/>
      <c r="FZ118" s="2"/>
      <c r="GA118" s="2"/>
      <c r="GB118" s="2"/>
    </row>
    <row r="119" spans="2:184" ht="16.2" hidden="1" thickBot="1">
      <c r="B119" s="137" t="s">
        <v>139</v>
      </c>
      <c r="C119" s="1010">
        <f>+SUM('Cash Flow Statement'!BA19:BL19)</f>
        <v>0</v>
      </c>
      <c r="D119" s="2"/>
      <c r="FZ119" s="2"/>
      <c r="GA119" s="2"/>
      <c r="GB119" s="2"/>
    </row>
    <row r="120" spans="2:184" ht="15.75" hidden="1">
      <c r="B120" s="488" t="s">
        <v>140</v>
      </c>
      <c r="C120" s="727">
        <v>10</v>
      </c>
      <c r="D120" s="2"/>
      <c r="FZ120" s="2"/>
      <c r="GA120" s="2"/>
      <c r="GB120" s="2"/>
    </row>
    <row r="121" spans="2:184" ht="15.75" hidden="1">
      <c r="B121" s="488" t="s">
        <v>141</v>
      </c>
      <c r="C121" s="728">
        <v>0</v>
      </c>
      <c r="D121" s="2"/>
      <c r="FZ121" s="2"/>
      <c r="GA121" s="2"/>
      <c r="GB121" s="2"/>
    </row>
    <row r="122" spans="2:184" ht="15.75" hidden="1">
      <c r="B122" s="488" t="s">
        <v>151</v>
      </c>
      <c r="C122" s="727">
        <v>12</v>
      </c>
      <c r="D122" s="2"/>
      <c r="FZ122" s="2"/>
      <c r="GA122" s="2"/>
      <c r="GB122" s="2"/>
    </row>
    <row r="123" spans="2:184" ht="15.75" hidden="1">
      <c r="B123" s="488" t="s">
        <v>142</v>
      </c>
      <c r="C123" s="729">
        <f>C122*C120</f>
        <v>120</v>
      </c>
      <c r="D123" s="2"/>
      <c r="FZ123" s="2"/>
      <c r="GA123" s="2"/>
      <c r="GB123" s="2"/>
    </row>
    <row r="124" spans="2:184" ht="15.75" hidden="1">
      <c r="B124" s="488" t="s">
        <v>143</v>
      </c>
      <c r="C124" s="730">
        <v>0</v>
      </c>
      <c r="D124" s="2"/>
      <c r="FZ124" s="2"/>
      <c r="GA124" s="2"/>
      <c r="GB124" s="2"/>
    </row>
    <row r="125" spans="2:184" ht="15.75" hidden="1">
      <c r="B125" s="488" t="s">
        <v>144</v>
      </c>
      <c r="C125" s="1011">
        <v>0.05</v>
      </c>
      <c r="D125" s="2"/>
      <c r="FZ125" s="2"/>
      <c r="GA125" s="2"/>
      <c r="GB125" s="2"/>
    </row>
    <row r="126" spans="2:184" ht="15.75" hidden="1">
      <c r="B126" s="488" t="s">
        <v>145</v>
      </c>
      <c r="C126" s="1004">
        <f>C125+C124</f>
        <v>0.05</v>
      </c>
      <c r="D126" s="2"/>
      <c r="FZ126" s="2"/>
      <c r="GA126" s="2"/>
      <c r="GB126" s="2"/>
    </row>
    <row r="127" spans="2:184" ht="15.75" hidden="1">
      <c r="B127" s="488" t="s">
        <v>150</v>
      </c>
      <c r="C127" s="1005">
        <f>C128*C122</f>
        <v>0</v>
      </c>
      <c r="D127" s="2"/>
      <c r="FZ127" s="2"/>
      <c r="GA127" s="2"/>
      <c r="GB127" s="2"/>
    </row>
    <row r="128" spans="2:184" ht="15.75" hidden="1">
      <c r="B128" s="488" t="s">
        <v>153</v>
      </c>
      <c r="C128" s="1005">
        <f>D134</f>
        <v>0</v>
      </c>
      <c r="D128" s="2"/>
      <c r="FZ128" s="2"/>
      <c r="GA128" s="2"/>
      <c r="GB128" s="2"/>
    </row>
    <row r="129" spans="2:184" ht="16.2" hidden="1" thickBot="1">
      <c r="B129" s="234" t="s">
        <v>324</v>
      </c>
      <c r="C129" s="1006">
        <f>+AVERAGE(C136:BV136)</f>
        <v>0</v>
      </c>
      <c r="D129" s="2"/>
      <c r="FZ129" s="2"/>
      <c r="GA129" s="2"/>
      <c r="GB129" s="2"/>
    </row>
    <row r="130" ht="15.75" hidden="1"/>
    <row r="131" ht="16.2" hidden="1" thickBot="1"/>
    <row r="132" spans="2:183" ht="34.95" customHeight="1" hidden="1" thickBot="1">
      <c r="B132" s="139" t="s">
        <v>146</v>
      </c>
      <c r="C132" s="963">
        <v>1</v>
      </c>
      <c r="D132" s="964">
        <f aca="true" t="shared" si="107" ref="D132:BJ132">+C132+1</f>
        <v>2</v>
      </c>
      <c r="E132" s="964">
        <f t="shared" si="107"/>
        <v>3</v>
      </c>
      <c r="F132" s="964">
        <f t="shared" si="107"/>
        <v>4</v>
      </c>
      <c r="G132" s="964">
        <f t="shared" si="107"/>
        <v>5</v>
      </c>
      <c r="H132" s="964">
        <f t="shared" si="107"/>
        <v>6</v>
      </c>
      <c r="I132" s="964">
        <f t="shared" si="107"/>
        <v>7</v>
      </c>
      <c r="J132" s="964">
        <f t="shared" si="107"/>
        <v>8</v>
      </c>
      <c r="K132" s="964">
        <f t="shared" si="107"/>
        <v>9</v>
      </c>
      <c r="L132" s="964">
        <f t="shared" si="107"/>
        <v>10</v>
      </c>
      <c r="M132" s="964">
        <f t="shared" si="107"/>
        <v>11</v>
      </c>
      <c r="N132" s="964">
        <f t="shared" si="107"/>
        <v>12</v>
      </c>
      <c r="O132" s="964">
        <f t="shared" si="107"/>
        <v>13</v>
      </c>
      <c r="P132" s="964">
        <f t="shared" si="107"/>
        <v>14</v>
      </c>
      <c r="Q132" s="964">
        <f t="shared" si="107"/>
        <v>15</v>
      </c>
      <c r="R132" s="964">
        <f t="shared" si="107"/>
        <v>16</v>
      </c>
      <c r="S132" s="964">
        <f t="shared" si="107"/>
        <v>17</v>
      </c>
      <c r="T132" s="964">
        <f t="shared" si="107"/>
        <v>18</v>
      </c>
      <c r="U132" s="964">
        <f t="shared" si="107"/>
        <v>19</v>
      </c>
      <c r="V132" s="964">
        <f t="shared" si="107"/>
        <v>20</v>
      </c>
      <c r="W132" s="964">
        <f t="shared" si="107"/>
        <v>21</v>
      </c>
      <c r="X132" s="964">
        <f t="shared" si="107"/>
        <v>22</v>
      </c>
      <c r="Y132" s="964">
        <f t="shared" si="107"/>
        <v>23</v>
      </c>
      <c r="Z132" s="964">
        <f t="shared" si="107"/>
        <v>24</v>
      </c>
      <c r="AA132" s="964">
        <f t="shared" si="107"/>
        <v>25</v>
      </c>
      <c r="AB132" s="964">
        <f t="shared" si="107"/>
        <v>26</v>
      </c>
      <c r="AC132" s="964">
        <f t="shared" si="107"/>
        <v>27</v>
      </c>
      <c r="AD132" s="964">
        <f t="shared" si="107"/>
        <v>28</v>
      </c>
      <c r="AE132" s="964">
        <f t="shared" si="107"/>
        <v>29</v>
      </c>
      <c r="AF132" s="964">
        <f t="shared" si="107"/>
        <v>30</v>
      </c>
      <c r="AG132" s="964">
        <f t="shared" si="107"/>
        <v>31</v>
      </c>
      <c r="AH132" s="964">
        <f t="shared" si="107"/>
        <v>32</v>
      </c>
      <c r="AI132" s="964">
        <f t="shared" si="107"/>
        <v>33</v>
      </c>
      <c r="AJ132" s="964">
        <f t="shared" si="107"/>
        <v>34</v>
      </c>
      <c r="AK132" s="964">
        <f t="shared" si="107"/>
        <v>35</v>
      </c>
      <c r="AL132" s="964">
        <f t="shared" si="107"/>
        <v>36</v>
      </c>
      <c r="AM132" s="964">
        <f t="shared" si="107"/>
        <v>37</v>
      </c>
      <c r="AN132" s="964">
        <f t="shared" si="107"/>
        <v>38</v>
      </c>
      <c r="AO132" s="964">
        <f t="shared" si="107"/>
        <v>39</v>
      </c>
      <c r="AP132" s="964">
        <f t="shared" si="107"/>
        <v>40</v>
      </c>
      <c r="AQ132" s="964">
        <f t="shared" si="107"/>
        <v>41</v>
      </c>
      <c r="AR132" s="964">
        <f t="shared" si="107"/>
        <v>42</v>
      </c>
      <c r="AS132" s="964">
        <f t="shared" si="107"/>
        <v>43</v>
      </c>
      <c r="AT132" s="964">
        <f t="shared" si="107"/>
        <v>44</v>
      </c>
      <c r="AU132" s="964">
        <f t="shared" si="107"/>
        <v>45</v>
      </c>
      <c r="AV132" s="964">
        <f t="shared" si="107"/>
        <v>46</v>
      </c>
      <c r="AW132" s="964">
        <f t="shared" si="107"/>
        <v>47</v>
      </c>
      <c r="AX132" s="964">
        <f t="shared" si="107"/>
        <v>48</v>
      </c>
      <c r="AY132" s="964">
        <f t="shared" si="107"/>
        <v>49</v>
      </c>
      <c r="AZ132" s="964">
        <f t="shared" si="107"/>
        <v>50</v>
      </c>
      <c r="BA132" s="964">
        <f t="shared" si="107"/>
        <v>51</v>
      </c>
      <c r="BB132" s="964">
        <f t="shared" si="107"/>
        <v>52</v>
      </c>
      <c r="BC132" s="964">
        <f t="shared" si="107"/>
        <v>53</v>
      </c>
      <c r="BD132" s="964">
        <f t="shared" si="107"/>
        <v>54</v>
      </c>
      <c r="BE132" s="964">
        <f t="shared" si="107"/>
        <v>55</v>
      </c>
      <c r="BF132" s="964">
        <f t="shared" si="107"/>
        <v>56</v>
      </c>
      <c r="BG132" s="964">
        <f t="shared" si="107"/>
        <v>57</v>
      </c>
      <c r="BH132" s="964">
        <f t="shared" si="107"/>
        <v>58</v>
      </c>
      <c r="BI132" s="964">
        <f t="shared" si="107"/>
        <v>59</v>
      </c>
      <c r="BJ132" s="964">
        <f t="shared" si="107"/>
        <v>60</v>
      </c>
      <c r="BK132" s="964"/>
      <c r="BL132" s="964"/>
      <c r="BM132" s="964"/>
      <c r="BN132" s="964"/>
      <c r="BO132" s="964"/>
      <c r="BP132" s="964"/>
      <c r="BQ132" s="964"/>
      <c r="BR132" s="964"/>
      <c r="BS132" s="964"/>
      <c r="BT132" s="964"/>
      <c r="BU132" s="964"/>
      <c r="BV132" s="964"/>
      <c r="BW132" s="964"/>
      <c r="BX132" s="964"/>
      <c r="BY132" s="964"/>
      <c r="BZ132" s="964"/>
      <c r="CA132" s="964"/>
      <c r="CB132" s="964"/>
      <c r="CC132" s="964"/>
      <c r="CD132" s="964"/>
      <c r="CE132" s="964"/>
      <c r="CF132" s="964"/>
      <c r="CG132" s="964"/>
      <c r="CH132" s="964"/>
      <c r="CI132" s="964"/>
      <c r="CJ132" s="964"/>
      <c r="CK132" s="964"/>
      <c r="CL132" s="964"/>
      <c r="CM132" s="964"/>
      <c r="CN132" s="964"/>
      <c r="CO132" s="964"/>
      <c r="CP132" s="964"/>
      <c r="CQ132" s="964"/>
      <c r="CR132" s="964"/>
      <c r="CS132" s="964"/>
      <c r="CT132" s="964"/>
      <c r="CU132" s="964"/>
      <c r="CV132" s="964"/>
      <c r="CW132" s="964"/>
      <c r="CX132" s="964"/>
      <c r="CY132" s="964"/>
      <c r="CZ132" s="964"/>
      <c r="DA132" s="964"/>
      <c r="DB132" s="964"/>
      <c r="DC132" s="964"/>
      <c r="DD132" s="964"/>
      <c r="DE132" s="964"/>
      <c r="DF132" s="964"/>
      <c r="DG132" s="964"/>
      <c r="DH132" s="964"/>
      <c r="DI132" s="964"/>
      <c r="DJ132" s="964"/>
      <c r="DK132" s="964"/>
      <c r="DL132" s="964"/>
      <c r="DM132" s="964"/>
      <c r="DN132" s="964"/>
      <c r="DO132" s="964"/>
      <c r="DP132" s="964"/>
      <c r="DQ132" s="964"/>
      <c r="DR132" s="964"/>
      <c r="DS132" s="964"/>
      <c r="DT132" s="964"/>
      <c r="DU132" s="964"/>
      <c r="DV132" s="964"/>
      <c r="DW132" s="964"/>
      <c r="DX132" s="964"/>
      <c r="DY132" s="964"/>
      <c r="DZ132" s="964"/>
      <c r="EA132" s="964"/>
      <c r="EB132" s="964"/>
      <c r="EC132" s="964"/>
      <c r="ED132" s="964"/>
      <c r="EE132" s="964"/>
      <c r="EF132" s="964"/>
      <c r="EG132" s="964"/>
      <c r="EH132" s="964"/>
      <c r="EI132" s="964"/>
      <c r="EJ132" s="964"/>
      <c r="EK132" s="964"/>
      <c r="EL132" s="964"/>
      <c r="EM132" s="964"/>
      <c r="EN132" s="964"/>
      <c r="EO132" s="964"/>
      <c r="EP132" s="964"/>
      <c r="EQ132" s="964"/>
      <c r="ER132" s="964"/>
      <c r="ES132" s="964"/>
      <c r="ET132" s="964"/>
      <c r="EU132" s="964"/>
      <c r="EV132" s="964"/>
      <c r="EW132" s="964"/>
      <c r="EX132" s="964"/>
      <c r="EY132" s="964"/>
      <c r="EZ132" s="964"/>
      <c r="FA132" s="964"/>
      <c r="FB132" s="964"/>
      <c r="FC132" s="964"/>
      <c r="FD132" s="964"/>
      <c r="FE132" s="964"/>
      <c r="FF132" s="964"/>
      <c r="FG132" s="964"/>
      <c r="FH132" s="964"/>
      <c r="FI132" s="964"/>
      <c r="FJ132" s="964"/>
      <c r="FK132" s="964"/>
      <c r="FL132" s="964"/>
      <c r="FM132" s="964"/>
      <c r="FN132" s="964"/>
      <c r="FO132" s="964"/>
      <c r="FP132" s="964"/>
      <c r="FQ132" s="964"/>
      <c r="FR132" s="964"/>
      <c r="FS132" s="964"/>
      <c r="FT132" s="964"/>
      <c r="FU132" s="964"/>
      <c r="FV132" s="964"/>
      <c r="FW132" s="964"/>
      <c r="FX132" s="964"/>
      <c r="FY132" s="964"/>
      <c r="FZ132" s="964"/>
      <c r="GA132" s="965"/>
    </row>
    <row r="133" spans="2:184" ht="34.95" customHeight="1" hidden="1" thickBot="1">
      <c r="B133" s="140" t="s">
        <v>147</v>
      </c>
      <c r="C133" s="402">
        <v>45292</v>
      </c>
      <c r="D133" s="1007">
        <f>+C133+31</f>
        <v>45323</v>
      </c>
      <c r="E133" s="1007">
        <f>+D133+31</f>
        <v>45354</v>
      </c>
      <c r="F133" s="1007">
        <f aca="true" t="shared" si="108" ref="F133:BJ133">+E133+31</f>
        <v>45385</v>
      </c>
      <c r="G133" s="1007">
        <f t="shared" si="108"/>
        <v>45416</v>
      </c>
      <c r="H133" s="1007">
        <f t="shared" si="108"/>
        <v>45447</v>
      </c>
      <c r="I133" s="1007">
        <f t="shared" si="108"/>
        <v>45478</v>
      </c>
      <c r="J133" s="1007">
        <f t="shared" si="108"/>
        <v>45509</v>
      </c>
      <c r="K133" s="1007">
        <f t="shared" si="108"/>
        <v>45540</v>
      </c>
      <c r="L133" s="1007">
        <f t="shared" si="108"/>
        <v>45571</v>
      </c>
      <c r="M133" s="1007">
        <f t="shared" si="108"/>
        <v>45602</v>
      </c>
      <c r="N133" s="1007">
        <f t="shared" si="108"/>
        <v>45633</v>
      </c>
      <c r="O133" s="1007">
        <f t="shared" si="108"/>
        <v>45664</v>
      </c>
      <c r="P133" s="1007">
        <f t="shared" si="108"/>
        <v>45695</v>
      </c>
      <c r="Q133" s="1007">
        <f t="shared" si="108"/>
        <v>45726</v>
      </c>
      <c r="R133" s="1007">
        <f t="shared" si="108"/>
        <v>45757</v>
      </c>
      <c r="S133" s="1007">
        <f t="shared" si="108"/>
        <v>45788</v>
      </c>
      <c r="T133" s="1007">
        <f t="shared" si="108"/>
        <v>45819</v>
      </c>
      <c r="U133" s="1007">
        <f t="shared" si="108"/>
        <v>45850</v>
      </c>
      <c r="V133" s="1007">
        <f t="shared" si="108"/>
        <v>45881</v>
      </c>
      <c r="W133" s="1007">
        <f t="shared" si="108"/>
        <v>45912</v>
      </c>
      <c r="X133" s="1007">
        <f t="shared" si="108"/>
        <v>45943</v>
      </c>
      <c r="Y133" s="1007">
        <f t="shared" si="108"/>
        <v>45974</v>
      </c>
      <c r="Z133" s="1007">
        <f t="shared" si="108"/>
        <v>46005</v>
      </c>
      <c r="AA133" s="1007">
        <f t="shared" si="108"/>
        <v>46036</v>
      </c>
      <c r="AB133" s="1007">
        <f t="shared" si="108"/>
        <v>46067</v>
      </c>
      <c r="AC133" s="1007">
        <f t="shared" si="108"/>
        <v>46098</v>
      </c>
      <c r="AD133" s="1007">
        <f t="shared" si="108"/>
        <v>46129</v>
      </c>
      <c r="AE133" s="1007">
        <f t="shared" si="108"/>
        <v>46160</v>
      </c>
      <c r="AF133" s="1007">
        <f t="shared" si="108"/>
        <v>46191</v>
      </c>
      <c r="AG133" s="1007">
        <f t="shared" si="108"/>
        <v>46222</v>
      </c>
      <c r="AH133" s="1007">
        <f t="shared" si="108"/>
        <v>46253</v>
      </c>
      <c r="AI133" s="1007">
        <f t="shared" si="108"/>
        <v>46284</v>
      </c>
      <c r="AJ133" s="1007">
        <f t="shared" si="108"/>
        <v>46315</v>
      </c>
      <c r="AK133" s="1007">
        <f t="shared" si="108"/>
        <v>46346</v>
      </c>
      <c r="AL133" s="1007">
        <f t="shared" si="108"/>
        <v>46377</v>
      </c>
      <c r="AM133" s="1007">
        <f t="shared" si="108"/>
        <v>46408</v>
      </c>
      <c r="AN133" s="1007">
        <f t="shared" si="108"/>
        <v>46439</v>
      </c>
      <c r="AO133" s="1007">
        <f t="shared" si="108"/>
        <v>46470</v>
      </c>
      <c r="AP133" s="1007">
        <f t="shared" si="108"/>
        <v>46501</v>
      </c>
      <c r="AQ133" s="1007">
        <f t="shared" si="108"/>
        <v>46532</v>
      </c>
      <c r="AR133" s="1007">
        <f t="shared" si="108"/>
        <v>46563</v>
      </c>
      <c r="AS133" s="1007">
        <f t="shared" si="108"/>
        <v>46594</v>
      </c>
      <c r="AT133" s="1007">
        <f t="shared" si="108"/>
        <v>46625</v>
      </c>
      <c r="AU133" s="1007">
        <f t="shared" si="108"/>
        <v>46656</v>
      </c>
      <c r="AV133" s="1007">
        <f t="shared" si="108"/>
        <v>46687</v>
      </c>
      <c r="AW133" s="1007">
        <f t="shared" si="108"/>
        <v>46718</v>
      </c>
      <c r="AX133" s="1007">
        <f t="shared" si="108"/>
        <v>46749</v>
      </c>
      <c r="AY133" s="1007">
        <f t="shared" si="108"/>
        <v>46780</v>
      </c>
      <c r="AZ133" s="1007">
        <f t="shared" si="108"/>
        <v>46811</v>
      </c>
      <c r="BA133" s="1007">
        <f t="shared" si="108"/>
        <v>46842</v>
      </c>
      <c r="BB133" s="1007">
        <f>+BA133+25</f>
        <v>46867</v>
      </c>
      <c r="BC133" s="1007">
        <f t="shared" si="108"/>
        <v>46898</v>
      </c>
      <c r="BD133" s="1007">
        <f t="shared" si="108"/>
        <v>46929</v>
      </c>
      <c r="BE133" s="1007">
        <f t="shared" si="108"/>
        <v>46960</v>
      </c>
      <c r="BF133" s="1007">
        <f t="shared" si="108"/>
        <v>46991</v>
      </c>
      <c r="BG133" s="1007">
        <f t="shared" si="108"/>
        <v>47022</v>
      </c>
      <c r="BH133" s="1007">
        <f t="shared" si="108"/>
        <v>47053</v>
      </c>
      <c r="BI133" s="1007">
        <f t="shared" si="108"/>
        <v>47084</v>
      </c>
      <c r="BJ133" s="1007">
        <f t="shared" si="108"/>
        <v>47115</v>
      </c>
      <c r="BK133" s="1007"/>
      <c r="BL133" s="1007"/>
      <c r="BM133" s="1007"/>
      <c r="BN133" s="1007"/>
      <c r="BO133" s="1007"/>
      <c r="BP133" s="1007"/>
      <c r="BQ133" s="1007"/>
      <c r="BR133" s="1007"/>
      <c r="BS133" s="1007"/>
      <c r="BT133" s="1007"/>
      <c r="BU133" s="1007"/>
      <c r="BV133" s="1007"/>
      <c r="BW133" s="1007"/>
      <c r="BX133" s="1007"/>
      <c r="BY133" s="1007"/>
      <c r="BZ133" s="1007"/>
      <c r="CA133" s="1007"/>
      <c r="CB133" s="1007"/>
      <c r="CC133" s="1007"/>
      <c r="CD133" s="1007"/>
      <c r="CE133" s="1007"/>
      <c r="CF133" s="1007"/>
      <c r="CG133" s="1007"/>
      <c r="CH133" s="1007"/>
      <c r="CI133" s="1007"/>
      <c r="CJ133" s="1007"/>
      <c r="CK133" s="1007"/>
      <c r="CL133" s="1007"/>
      <c r="CM133" s="1007"/>
      <c r="CN133" s="1007"/>
      <c r="CO133" s="1007"/>
      <c r="CP133" s="1007"/>
      <c r="CQ133" s="1007"/>
      <c r="CR133" s="1007"/>
      <c r="CS133" s="1007"/>
      <c r="CT133" s="1007"/>
      <c r="CU133" s="1007"/>
      <c r="CV133" s="1007"/>
      <c r="CW133" s="1007"/>
      <c r="CX133" s="1007"/>
      <c r="CY133" s="1007"/>
      <c r="CZ133" s="1007"/>
      <c r="DA133" s="1007"/>
      <c r="DB133" s="1007"/>
      <c r="DC133" s="1007"/>
      <c r="DD133" s="1007"/>
      <c r="DE133" s="1007"/>
      <c r="DF133" s="1007"/>
      <c r="DG133" s="1007"/>
      <c r="DH133" s="1007"/>
      <c r="DI133" s="1007"/>
      <c r="DJ133" s="1007"/>
      <c r="DK133" s="1007"/>
      <c r="DL133" s="1007"/>
      <c r="DM133" s="1007"/>
      <c r="DN133" s="1007"/>
      <c r="DO133" s="1007"/>
      <c r="DP133" s="1007"/>
      <c r="DQ133" s="1007"/>
      <c r="DR133" s="1007"/>
      <c r="DS133" s="1007"/>
      <c r="DT133" s="1007"/>
      <c r="DU133" s="1007"/>
      <c r="DV133" s="1007"/>
      <c r="DW133" s="1007"/>
      <c r="DX133" s="1007"/>
      <c r="DY133" s="1007"/>
      <c r="DZ133" s="1007"/>
      <c r="EA133" s="1007"/>
      <c r="EB133" s="1007"/>
      <c r="EC133" s="1007"/>
      <c r="ED133" s="1007"/>
      <c r="EE133" s="1007"/>
      <c r="EF133" s="1007"/>
      <c r="EG133" s="1007"/>
      <c r="EH133" s="1007"/>
      <c r="EI133" s="1007"/>
      <c r="EJ133" s="1007"/>
      <c r="EK133" s="1007"/>
      <c r="EL133" s="1007"/>
      <c r="EM133" s="1007"/>
      <c r="EN133" s="1007"/>
      <c r="EO133" s="1007"/>
      <c r="EP133" s="1007"/>
      <c r="EQ133" s="1007"/>
      <c r="ER133" s="1007"/>
      <c r="ES133" s="1007"/>
      <c r="ET133" s="1007"/>
      <c r="EU133" s="1007"/>
      <c r="EV133" s="1007"/>
      <c r="EW133" s="1007"/>
      <c r="EX133" s="1007"/>
      <c r="EY133" s="1007"/>
      <c r="EZ133" s="1007"/>
      <c r="FA133" s="1007"/>
      <c r="FB133" s="1007"/>
      <c r="FC133" s="1007"/>
      <c r="FD133" s="1007"/>
      <c r="FE133" s="1007"/>
      <c r="FF133" s="1007"/>
      <c r="FG133" s="1007"/>
      <c r="FH133" s="1007"/>
      <c r="FI133" s="1007"/>
      <c r="FJ133" s="1007"/>
      <c r="FK133" s="1007"/>
      <c r="FL133" s="1007"/>
      <c r="FM133" s="1007"/>
      <c r="FN133" s="1007"/>
      <c r="FO133" s="1007"/>
      <c r="FP133" s="1007"/>
      <c r="FQ133" s="1007"/>
      <c r="FR133" s="1007"/>
      <c r="FS133" s="1007"/>
      <c r="FT133" s="1007"/>
      <c r="FU133" s="1007"/>
      <c r="FV133" s="1007"/>
      <c r="FW133" s="1007"/>
      <c r="FX133" s="1007"/>
      <c r="FY133" s="1007"/>
      <c r="FZ133" s="1007"/>
      <c r="GA133" s="1008"/>
      <c r="GB133" s="1009"/>
    </row>
    <row r="134" spans="2:183" ht="34.95" customHeight="1" hidden="1" thickBot="1">
      <c r="B134" s="140" t="s">
        <v>154</v>
      </c>
      <c r="C134" s="1012">
        <f>PMT($C$126/$C$122,$C$123,-$C$119)</f>
        <v>0</v>
      </c>
      <c r="D134" s="141">
        <f>IF(D132&gt;$C$123,0,PMT($C$126/$C$122,$C$123,-$C$119))</f>
        <v>0</v>
      </c>
      <c r="E134" s="141">
        <f aca="true" t="shared" si="109" ref="E134:BJ134">IF(E132&gt;$C$123,0,PMT($C$126/$C$122,$C$123,-$C$119))</f>
        <v>0</v>
      </c>
      <c r="F134" s="141">
        <f t="shared" si="109"/>
        <v>0</v>
      </c>
      <c r="G134" s="141">
        <f t="shared" si="109"/>
        <v>0</v>
      </c>
      <c r="H134" s="141">
        <f t="shared" si="109"/>
        <v>0</v>
      </c>
      <c r="I134" s="141">
        <f t="shared" si="109"/>
        <v>0</v>
      </c>
      <c r="J134" s="141">
        <f t="shared" si="109"/>
        <v>0</v>
      </c>
      <c r="K134" s="141">
        <f t="shared" si="109"/>
        <v>0</v>
      </c>
      <c r="L134" s="141">
        <f t="shared" si="109"/>
        <v>0</v>
      </c>
      <c r="M134" s="141">
        <f t="shared" si="109"/>
        <v>0</v>
      </c>
      <c r="N134" s="141">
        <f t="shared" si="109"/>
        <v>0</v>
      </c>
      <c r="O134" s="141">
        <f t="shared" si="109"/>
        <v>0</v>
      </c>
      <c r="P134" s="141">
        <f t="shared" si="109"/>
        <v>0</v>
      </c>
      <c r="Q134" s="141">
        <f t="shared" si="109"/>
        <v>0</v>
      </c>
      <c r="R134" s="141">
        <f t="shared" si="109"/>
        <v>0</v>
      </c>
      <c r="S134" s="141">
        <f t="shared" si="109"/>
        <v>0</v>
      </c>
      <c r="T134" s="141">
        <f t="shared" si="109"/>
        <v>0</v>
      </c>
      <c r="U134" s="141">
        <f t="shared" si="109"/>
        <v>0</v>
      </c>
      <c r="V134" s="141">
        <f t="shared" si="109"/>
        <v>0</v>
      </c>
      <c r="W134" s="141">
        <f t="shared" si="109"/>
        <v>0</v>
      </c>
      <c r="X134" s="141">
        <f t="shared" si="109"/>
        <v>0</v>
      </c>
      <c r="Y134" s="141">
        <f t="shared" si="109"/>
        <v>0</v>
      </c>
      <c r="Z134" s="141">
        <f t="shared" si="109"/>
        <v>0</v>
      </c>
      <c r="AA134" s="141">
        <f t="shared" si="109"/>
        <v>0</v>
      </c>
      <c r="AB134" s="141">
        <f t="shared" si="109"/>
        <v>0</v>
      </c>
      <c r="AC134" s="141">
        <f t="shared" si="109"/>
        <v>0</v>
      </c>
      <c r="AD134" s="141">
        <f t="shared" si="109"/>
        <v>0</v>
      </c>
      <c r="AE134" s="141">
        <f t="shared" si="109"/>
        <v>0</v>
      </c>
      <c r="AF134" s="141">
        <f t="shared" si="109"/>
        <v>0</v>
      </c>
      <c r="AG134" s="141">
        <f t="shared" si="109"/>
        <v>0</v>
      </c>
      <c r="AH134" s="141">
        <f t="shared" si="109"/>
        <v>0</v>
      </c>
      <c r="AI134" s="141">
        <f t="shared" si="109"/>
        <v>0</v>
      </c>
      <c r="AJ134" s="141">
        <f t="shared" si="109"/>
        <v>0</v>
      </c>
      <c r="AK134" s="141">
        <f t="shared" si="109"/>
        <v>0</v>
      </c>
      <c r="AL134" s="141">
        <f t="shared" si="109"/>
        <v>0</v>
      </c>
      <c r="AM134" s="141">
        <f t="shared" si="109"/>
        <v>0</v>
      </c>
      <c r="AN134" s="141">
        <f t="shared" si="109"/>
        <v>0</v>
      </c>
      <c r="AO134" s="141">
        <f t="shared" si="109"/>
        <v>0</v>
      </c>
      <c r="AP134" s="141">
        <f t="shared" si="109"/>
        <v>0</v>
      </c>
      <c r="AQ134" s="141">
        <f t="shared" si="109"/>
        <v>0</v>
      </c>
      <c r="AR134" s="141">
        <f t="shared" si="109"/>
        <v>0</v>
      </c>
      <c r="AS134" s="141">
        <f t="shared" si="109"/>
        <v>0</v>
      </c>
      <c r="AT134" s="141">
        <f t="shared" si="109"/>
        <v>0</v>
      </c>
      <c r="AU134" s="141">
        <f t="shared" si="109"/>
        <v>0</v>
      </c>
      <c r="AV134" s="141">
        <f t="shared" si="109"/>
        <v>0</v>
      </c>
      <c r="AW134" s="141">
        <f t="shared" si="109"/>
        <v>0</v>
      </c>
      <c r="AX134" s="141">
        <f t="shared" si="109"/>
        <v>0</v>
      </c>
      <c r="AY134" s="141">
        <f t="shared" si="109"/>
        <v>0</v>
      </c>
      <c r="AZ134" s="141">
        <f t="shared" si="109"/>
        <v>0</v>
      </c>
      <c r="BA134" s="141">
        <f t="shared" si="109"/>
        <v>0</v>
      </c>
      <c r="BB134" s="141">
        <f t="shared" si="109"/>
        <v>0</v>
      </c>
      <c r="BC134" s="141">
        <f t="shared" si="109"/>
        <v>0</v>
      </c>
      <c r="BD134" s="141">
        <f t="shared" si="109"/>
        <v>0</v>
      </c>
      <c r="BE134" s="141">
        <f t="shared" si="109"/>
        <v>0</v>
      </c>
      <c r="BF134" s="141">
        <f t="shared" si="109"/>
        <v>0</v>
      </c>
      <c r="BG134" s="141">
        <f t="shared" si="109"/>
        <v>0</v>
      </c>
      <c r="BH134" s="141">
        <f t="shared" si="109"/>
        <v>0</v>
      </c>
      <c r="BI134" s="141">
        <f t="shared" si="109"/>
        <v>0</v>
      </c>
      <c r="BJ134" s="141">
        <f t="shared" si="109"/>
        <v>0</v>
      </c>
      <c r="BK134" s="141"/>
      <c r="BL134" s="141"/>
      <c r="BM134" s="141"/>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41"/>
      <c r="DQ134" s="141"/>
      <c r="DR134" s="141"/>
      <c r="DS134" s="141"/>
      <c r="DT134" s="141"/>
      <c r="DU134" s="141"/>
      <c r="DV134" s="141"/>
      <c r="DW134" s="141"/>
      <c r="DX134" s="141"/>
      <c r="DY134" s="141"/>
      <c r="DZ134" s="141"/>
      <c r="EA134" s="141"/>
      <c r="EB134" s="141"/>
      <c r="EC134" s="141"/>
      <c r="ED134" s="141"/>
      <c r="EE134" s="141"/>
      <c r="EF134" s="141"/>
      <c r="EG134" s="141"/>
      <c r="EH134" s="141"/>
      <c r="EI134" s="141"/>
      <c r="EJ134" s="141"/>
      <c r="EK134" s="141"/>
      <c r="EL134" s="141"/>
      <c r="EM134" s="141"/>
      <c r="EN134" s="141"/>
      <c r="EO134" s="141"/>
      <c r="EP134" s="141"/>
      <c r="EQ134" s="141"/>
      <c r="ER134" s="141"/>
      <c r="ES134" s="141"/>
      <c r="ET134" s="141"/>
      <c r="EU134" s="141"/>
      <c r="EV134" s="141"/>
      <c r="EW134" s="141"/>
      <c r="EX134" s="141"/>
      <c r="EY134" s="141"/>
      <c r="EZ134" s="141"/>
      <c r="FA134" s="141"/>
      <c r="FB134" s="141"/>
      <c r="FC134" s="141"/>
      <c r="FD134" s="141"/>
      <c r="FE134" s="141"/>
      <c r="FF134" s="141"/>
      <c r="FG134" s="141"/>
      <c r="FH134" s="141"/>
      <c r="FI134" s="141"/>
      <c r="FJ134" s="141"/>
      <c r="FK134" s="141"/>
      <c r="FL134" s="141"/>
      <c r="FM134" s="141"/>
      <c r="FN134" s="141"/>
      <c r="FO134" s="141"/>
      <c r="FP134" s="141"/>
      <c r="FQ134" s="141"/>
      <c r="FR134" s="141"/>
      <c r="FS134" s="141"/>
      <c r="FT134" s="141"/>
      <c r="FU134" s="141"/>
      <c r="FV134" s="141"/>
      <c r="FW134" s="141"/>
      <c r="FX134" s="141"/>
      <c r="FY134" s="141"/>
      <c r="FZ134" s="141"/>
      <c r="GA134" s="142"/>
    </row>
    <row r="135" spans="2:183" ht="34.95" customHeight="1" hidden="1" thickBot="1">
      <c r="B135" s="140" t="s">
        <v>148</v>
      </c>
      <c r="C135" s="141">
        <f>+PPMT($C$126/$C$122,C132,$C$123,-$C$119)</f>
        <v>0</v>
      </c>
      <c r="D135" s="141">
        <f>IF(D132&gt;$C$123,0,PPMT($C$126/$C$122,D132,$C$123,-$C$119))</f>
        <v>0</v>
      </c>
      <c r="E135" s="141">
        <f aca="true" t="shared" si="110" ref="E135:BJ135">IF(E132&gt;$C$123,0,PPMT($C$126/$C$122,E132,$C$123,-$C$119))</f>
        <v>0</v>
      </c>
      <c r="F135" s="141">
        <f t="shared" si="110"/>
        <v>0</v>
      </c>
      <c r="G135" s="141">
        <f t="shared" si="110"/>
        <v>0</v>
      </c>
      <c r="H135" s="141">
        <f t="shared" si="110"/>
        <v>0</v>
      </c>
      <c r="I135" s="141">
        <f t="shared" si="110"/>
        <v>0</v>
      </c>
      <c r="J135" s="141">
        <f t="shared" si="110"/>
        <v>0</v>
      </c>
      <c r="K135" s="141">
        <f t="shared" si="110"/>
        <v>0</v>
      </c>
      <c r="L135" s="141">
        <f t="shared" si="110"/>
        <v>0</v>
      </c>
      <c r="M135" s="141">
        <f t="shared" si="110"/>
        <v>0</v>
      </c>
      <c r="N135" s="141">
        <f t="shared" si="110"/>
        <v>0</v>
      </c>
      <c r="O135" s="141">
        <f t="shared" si="110"/>
        <v>0</v>
      </c>
      <c r="P135" s="141">
        <f t="shared" si="110"/>
        <v>0</v>
      </c>
      <c r="Q135" s="141">
        <f t="shared" si="110"/>
        <v>0</v>
      </c>
      <c r="R135" s="141">
        <f t="shared" si="110"/>
        <v>0</v>
      </c>
      <c r="S135" s="141">
        <f t="shared" si="110"/>
        <v>0</v>
      </c>
      <c r="T135" s="141">
        <f t="shared" si="110"/>
        <v>0</v>
      </c>
      <c r="U135" s="141">
        <f t="shared" si="110"/>
        <v>0</v>
      </c>
      <c r="V135" s="141">
        <f t="shared" si="110"/>
        <v>0</v>
      </c>
      <c r="W135" s="141">
        <f t="shared" si="110"/>
        <v>0</v>
      </c>
      <c r="X135" s="141">
        <f t="shared" si="110"/>
        <v>0</v>
      </c>
      <c r="Y135" s="141">
        <f t="shared" si="110"/>
        <v>0</v>
      </c>
      <c r="Z135" s="141">
        <f t="shared" si="110"/>
        <v>0</v>
      </c>
      <c r="AA135" s="141">
        <f t="shared" si="110"/>
        <v>0</v>
      </c>
      <c r="AB135" s="141">
        <f t="shared" si="110"/>
        <v>0</v>
      </c>
      <c r="AC135" s="141">
        <f t="shared" si="110"/>
        <v>0</v>
      </c>
      <c r="AD135" s="141">
        <f t="shared" si="110"/>
        <v>0</v>
      </c>
      <c r="AE135" s="141">
        <f t="shared" si="110"/>
        <v>0</v>
      </c>
      <c r="AF135" s="141">
        <f t="shared" si="110"/>
        <v>0</v>
      </c>
      <c r="AG135" s="141">
        <f t="shared" si="110"/>
        <v>0</v>
      </c>
      <c r="AH135" s="141">
        <f t="shared" si="110"/>
        <v>0</v>
      </c>
      <c r="AI135" s="141">
        <f t="shared" si="110"/>
        <v>0</v>
      </c>
      <c r="AJ135" s="141">
        <f t="shared" si="110"/>
        <v>0</v>
      </c>
      <c r="AK135" s="141">
        <f t="shared" si="110"/>
        <v>0</v>
      </c>
      <c r="AL135" s="141">
        <f t="shared" si="110"/>
        <v>0</v>
      </c>
      <c r="AM135" s="141">
        <f t="shared" si="110"/>
        <v>0</v>
      </c>
      <c r="AN135" s="141">
        <f t="shared" si="110"/>
        <v>0</v>
      </c>
      <c r="AO135" s="141">
        <f t="shared" si="110"/>
        <v>0</v>
      </c>
      <c r="AP135" s="141">
        <f t="shared" si="110"/>
        <v>0</v>
      </c>
      <c r="AQ135" s="141">
        <f t="shared" si="110"/>
        <v>0</v>
      </c>
      <c r="AR135" s="141">
        <f t="shared" si="110"/>
        <v>0</v>
      </c>
      <c r="AS135" s="141">
        <f t="shared" si="110"/>
        <v>0</v>
      </c>
      <c r="AT135" s="141">
        <f t="shared" si="110"/>
        <v>0</v>
      </c>
      <c r="AU135" s="141">
        <f t="shared" si="110"/>
        <v>0</v>
      </c>
      <c r="AV135" s="141">
        <f t="shared" si="110"/>
        <v>0</v>
      </c>
      <c r="AW135" s="141">
        <f t="shared" si="110"/>
        <v>0</v>
      </c>
      <c r="AX135" s="141">
        <f t="shared" si="110"/>
        <v>0</v>
      </c>
      <c r="AY135" s="141">
        <f t="shared" si="110"/>
        <v>0</v>
      </c>
      <c r="AZ135" s="141">
        <f t="shared" si="110"/>
        <v>0</v>
      </c>
      <c r="BA135" s="141">
        <f t="shared" si="110"/>
        <v>0</v>
      </c>
      <c r="BB135" s="141">
        <f t="shared" si="110"/>
        <v>0</v>
      </c>
      <c r="BC135" s="141">
        <f t="shared" si="110"/>
        <v>0</v>
      </c>
      <c r="BD135" s="141">
        <f t="shared" si="110"/>
        <v>0</v>
      </c>
      <c r="BE135" s="141">
        <f t="shared" si="110"/>
        <v>0</v>
      </c>
      <c r="BF135" s="141">
        <f t="shared" si="110"/>
        <v>0</v>
      </c>
      <c r="BG135" s="141">
        <f t="shared" si="110"/>
        <v>0</v>
      </c>
      <c r="BH135" s="141">
        <f t="shared" si="110"/>
        <v>0</v>
      </c>
      <c r="BI135" s="141">
        <f t="shared" si="110"/>
        <v>0</v>
      </c>
      <c r="BJ135" s="141">
        <f t="shared" si="110"/>
        <v>0</v>
      </c>
      <c r="BK135" s="141"/>
      <c r="BL135" s="141"/>
      <c r="BM135" s="141"/>
      <c r="BN135" s="141"/>
      <c r="BO135" s="141"/>
      <c r="BP135" s="141"/>
      <c r="BQ135" s="141"/>
      <c r="BR135" s="141"/>
      <c r="BS135" s="141"/>
      <c r="BT135" s="141"/>
      <c r="BU135" s="141"/>
      <c r="BV135" s="141"/>
      <c r="BW135" s="141"/>
      <c r="BX135" s="141"/>
      <c r="BY135" s="141"/>
      <c r="BZ135" s="141"/>
      <c r="CA135" s="141"/>
      <c r="CB135" s="141"/>
      <c r="CC135" s="141"/>
      <c r="CD135" s="141"/>
      <c r="CE135" s="141"/>
      <c r="CF135" s="141"/>
      <c r="CG135" s="141"/>
      <c r="CH135" s="141"/>
      <c r="CI135" s="141"/>
      <c r="CJ135" s="141"/>
      <c r="CK135" s="141"/>
      <c r="CL135" s="141"/>
      <c r="CM135" s="141"/>
      <c r="CN135" s="141"/>
      <c r="CO135" s="141"/>
      <c r="CP135" s="141"/>
      <c r="CQ135" s="141"/>
      <c r="CR135" s="141"/>
      <c r="CS135" s="141"/>
      <c r="CT135" s="141"/>
      <c r="CU135" s="141"/>
      <c r="CV135" s="141"/>
      <c r="CW135" s="141"/>
      <c r="CX135" s="141"/>
      <c r="CY135" s="141"/>
      <c r="CZ135" s="141"/>
      <c r="DA135" s="141"/>
      <c r="DB135" s="141"/>
      <c r="DC135" s="141"/>
      <c r="DD135" s="141"/>
      <c r="DE135" s="141"/>
      <c r="DF135" s="141"/>
      <c r="DG135" s="141"/>
      <c r="DH135" s="141"/>
      <c r="DI135" s="141"/>
      <c r="DJ135" s="141"/>
      <c r="DK135" s="141"/>
      <c r="DL135" s="141"/>
      <c r="DM135" s="141"/>
      <c r="DN135" s="141"/>
      <c r="DO135" s="141"/>
      <c r="DP135" s="141"/>
      <c r="DQ135" s="141"/>
      <c r="DR135" s="141"/>
      <c r="DS135" s="141"/>
      <c r="DT135" s="141"/>
      <c r="DU135" s="141"/>
      <c r="DV135" s="141"/>
      <c r="DW135" s="141"/>
      <c r="DX135" s="141"/>
      <c r="DY135" s="141"/>
      <c r="DZ135" s="141"/>
      <c r="EA135" s="141"/>
      <c r="EB135" s="141"/>
      <c r="EC135" s="141"/>
      <c r="ED135" s="141"/>
      <c r="EE135" s="141"/>
      <c r="EF135" s="141"/>
      <c r="EG135" s="141"/>
      <c r="EH135" s="141"/>
      <c r="EI135" s="141"/>
      <c r="EJ135" s="141"/>
      <c r="EK135" s="141"/>
      <c r="EL135" s="141"/>
      <c r="EM135" s="141"/>
      <c r="EN135" s="141"/>
      <c r="EO135" s="141"/>
      <c r="EP135" s="141"/>
      <c r="EQ135" s="141"/>
      <c r="ER135" s="141"/>
      <c r="ES135" s="141"/>
      <c r="ET135" s="141"/>
      <c r="EU135" s="141"/>
      <c r="EV135" s="141"/>
      <c r="EW135" s="141"/>
      <c r="EX135" s="141"/>
      <c r="EY135" s="141"/>
      <c r="EZ135" s="141"/>
      <c r="FA135" s="141"/>
      <c r="FB135" s="141"/>
      <c r="FC135" s="141"/>
      <c r="FD135" s="141"/>
      <c r="FE135" s="141"/>
      <c r="FF135" s="141"/>
      <c r="FG135" s="141"/>
      <c r="FH135" s="141"/>
      <c r="FI135" s="141"/>
      <c r="FJ135" s="141"/>
      <c r="FK135" s="141"/>
      <c r="FL135" s="141"/>
      <c r="FM135" s="141"/>
      <c r="FN135" s="141"/>
      <c r="FO135" s="141"/>
      <c r="FP135" s="141"/>
      <c r="FQ135" s="141"/>
      <c r="FR135" s="141"/>
      <c r="FS135" s="141"/>
      <c r="FT135" s="141"/>
      <c r="FU135" s="141"/>
      <c r="FV135" s="141"/>
      <c r="FW135" s="141"/>
      <c r="FX135" s="141"/>
      <c r="FY135" s="141"/>
      <c r="FZ135" s="141"/>
      <c r="GA135" s="142"/>
    </row>
    <row r="136" spans="2:183" ht="34.95" customHeight="1" hidden="1" thickBot="1">
      <c r="B136" s="140" t="s">
        <v>149</v>
      </c>
      <c r="C136" s="141">
        <f>IPMT($C$126/$C$122,C132,$C$123,-$C$119)</f>
        <v>0</v>
      </c>
      <c r="D136" s="141">
        <f>IF(D132&gt;$C$123,0,IPMT($C$126/$C$122,D132,$C$123,-$C$119))</f>
        <v>0</v>
      </c>
      <c r="E136" s="141">
        <f aca="true" t="shared" si="111" ref="E136:BJ136">IF(E132&gt;$C$123,0,IPMT($C$126/$C$122,E132,$C$123,-$C$119))</f>
        <v>0</v>
      </c>
      <c r="F136" s="141">
        <f t="shared" si="111"/>
        <v>0</v>
      </c>
      <c r="G136" s="141">
        <f t="shared" si="111"/>
        <v>0</v>
      </c>
      <c r="H136" s="141">
        <f t="shared" si="111"/>
        <v>0</v>
      </c>
      <c r="I136" s="141">
        <f t="shared" si="111"/>
        <v>0</v>
      </c>
      <c r="J136" s="141">
        <f t="shared" si="111"/>
        <v>0</v>
      </c>
      <c r="K136" s="141">
        <f t="shared" si="111"/>
        <v>0</v>
      </c>
      <c r="L136" s="141">
        <f t="shared" si="111"/>
        <v>0</v>
      </c>
      <c r="M136" s="141">
        <f t="shared" si="111"/>
        <v>0</v>
      </c>
      <c r="N136" s="141">
        <f t="shared" si="111"/>
        <v>0</v>
      </c>
      <c r="O136" s="141">
        <f t="shared" si="111"/>
        <v>0</v>
      </c>
      <c r="P136" s="141">
        <f t="shared" si="111"/>
        <v>0</v>
      </c>
      <c r="Q136" s="141">
        <f t="shared" si="111"/>
        <v>0</v>
      </c>
      <c r="R136" s="141">
        <f t="shared" si="111"/>
        <v>0</v>
      </c>
      <c r="S136" s="141">
        <f t="shared" si="111"/>
        <v>0</v>
      </c>
      <c r="T136" s="141">
        <f t="shared" si="111"/>
        <v>0</v>
      </c>
      <c r="U136" s="141">
        <f t="shared" si="111"/>
        <v>0</v>
      </c>
      <c r="V136" s="141">
        <f t="shared" si="111"/>
        <v>0</v>
      </c>
      <c r="W136" s="141">
        <f t="shared" si="111"/>
        <v>0</v>
      </c>
      <c r="X136" s="141">
        <f t="shared" si="111"/>
        <v>0</v>
      </c>
      <c r="Y136" s="141">
        <f t="shared" si="111"/>
        <v>0</v>
      </c>
      <c r="Z136" s="141">
        <f t="shared" si="111"/>
        <v>0</v>
      </c>
      <c r="AA136" s="141">
        <f t="shared" si="111"/>
        <v>0</v>
      </c>
      <c r="AB136" s="141">
        <f t="shared" si="111"/>
        <v>0</v>
      </c>
      <c r="AC136" s="141">
        <f t="shared" si="111"/>
        <v>0</v>
      </c>
      <c r="AD136" s="141">
        <f t="shared" si="111"/>
        <v>0</v>
      </c>
      <c r="AE136" s="141">
        <f t="shared" si="111"/>
        <v>0</v>
      </c>
      <c r="AF136" s="141">
        <f t="shared" si="111"/>
        <v>0</v>
      </c>
      <c r="AG136" s="141">
        <f t="shared" si="111"/>
        <v>0</v>
      </c>
      <c r="AH136" s="141">
        <f t="shared" si="111"/>
        <v>0</v>
      </c>
      <c r="AI136" s="141">
        <f t="shared" si="111"/>
        <v>0</v>
      </c>
      <c r="AJ136" s="141">
        <f t="shared" si="111"/>
        <v>0</v>
      </c>
      <c r="AK136" s="141">
        <f t="shared" si="111"/>
        <v>0</v>
      </c>
      <c r="AL136" s="141">
        <f t="shared" si="111"/>
        <v>0</v>
      </c>
      <c r="AM136" s="141">
        <f t="shared" si="111"/>
        <v>0</v>
      </c>
      <c r="AN136" s="141">
        <f t="shared" si="111"/>
        <v>0</v>
      </c>
      <c r="AO136" s="141">
        <f t="shared" si="111"/>
        <v>0</v>
      </c>
      <c r="AP136" s="141">
        <f t="shared" si="111"/>
        <v>0</v>
      </c>
      <c r="AQ136" s="141">
        <f t="shared" si="111"/>
        <v>0</v>
      </c>
      <c r="AR136" s="141">
        <f t="shared" si="111"/>
        <v>0</v>
      </c>
      <c r="AS136" s="141">
        <f t="shared" si="111"/>
        <v>0</v>
      </c>
      <c r="AT136" s="141">
        <f t="shared" si="111"/>
        <v>0</v>
      </c>
      <c r="AU136" s="141">
        <f t="shared" si="111"/>
        <v>0</v>
      </c>
      <c r="AV136" s="141">
        <f t="shared" si="111"/>
        <v>0</v>
      </c>
      <c r="AW136" s="141">
        <f t="shared" si="111"/>
        <v>0</v>
      </c>
      <c r="AX136" s="141">
        <f t="shared" si="111"/>
        <v>0</v>
      </c>
      <c r="AY136" s="141">
        <f t="shared" si="111"/>
        <v>0</v>
      </c>
      <c r="AZ136" s="141">
        <f t="shared" si="111"/>
        <v>0</v>
      </c>
      <c r="BA136" s="141">
        <f t="shared" si="111"/>
        <v>0</v>
      </c>
      <c r="BB136" s="141">
        <f t="shared" si="111"/>
        <v>0</v>
      </c>
      <c r="BC136" s="141">
        <f t="shared" si="111"/>
        <v>0</v>
      </c>
      <c r="BD136" s="141">
        <f t="shared" si="111"/>
        <v>0</v>
      </c>
      <c r="BE136" s="141">
        <f t="shared" si="111"/>
        <v>0</v>
      </c>
      <c r="BF136" s="141">
        <f t="shared" si="111"/>
        <v>0</v>
      </c>
      <c r="BG136" s="141">
        <f t="shared" si="111"/>
        <v>0</v>
      </c>
      <c r="BH136" s="141">
        <f t="shared" si="111"/>
        <v>0</v>
      </c>
      <c r="BI136" s="141">
        <f t="shared" si="111"/>
        <v>0</v>
      </c>
      <c r="BJ136" s="141">
        <f t="shared" si="111"/>
        <v>0</v>
      </c>
      <c r="BK136" s="141"/>
      <c r="BL136" s="141"/>
      <c r="BM136" s="141"/>
      <c r="BN136" s="141"/>
      <c r="BO136" s="141"/>
      <c r="BP136" s="141"/>
      <c r="BQ136" s="141"/>
      <c r="BR136" s="141"/>
      <c r="BS136" s="141"/>
      <c r="BT136" s="141"/>
      <c r="BU136" s="141"/>
      <c r="BV136" s="141"/>
      <c r="BW136" s="141"/>
      <c r="BX136" s="141"/>
      <c r="BY136" s="141"/>
      <c r="BZ136" s="141"/>
      <c r="CA136" s="141"/>
      <c r="CB136" s="141"/>
      <c r="CC136" s="141"/>
      <c r="CD136" s="141"/>
      <c r="CE136" s="141"/>
      <c r="CF136" s="141"/>
      <c r="CG136" s="141"/>
      <c r="CH136" s="141"/>
      <c r="CI136" s="141"/>
      <c r="CJ136" s="141"/>
      <c r="CK136" s="141"/>
      <c r="CL136" s="141"/>
      <c r="CM136" s="141"/>
      <c r="CN136" s="141"/>
      <c r="CO136" s="141"/>
      <c r="CP136" s="141"/>
      <c r="CQ136" s="141"/>
      <c r="CR136" s="141"/>
      <c r="CS136" s="141"/>
      <c r="CT136" s="141"/>
      <c r="CU136" s="141"/>
      <c r="CV136" s="141"/>
      <c r="CW136" s="141"/>
      <c r="CX136" s="141"/>
      <c r="CY136" s="141"/>
      <c r="CZ136" s="141"/>
      <c r="DA136" s="141"/>
      <c r="DB136" s="141"/>
      <c r="DC136" s="141"/>
      <c r="DD136" s="141"/>
      <c r="DE136" s="141"/>
      <c r="DF136" s="141"/>
      <c r="DG136" s="141"/>
      <c r="DH136" s="141"/>
      <c r="DI136" s="141"/>
      <c r="DJ136" s="141"/>
      <c r="DK136" s="141"/>
      <c r="DL136" s="141"/>
      <c r="DM136" s="141"/>
      <c r="DN136" s="141"/>
      <c r="DO136" s="141"/>
      <c r="DP136" s="141"/>
      <c r="DQ136" s="141"/>
      <c r="DR136" s="141"/>
      <c r="DS136" s="141"/>
      <c r="DT136" s="141"/>
      <c r="DU136" s="141"/>
      <c r="DV136" s="141"/>
      <c r="DW136" s="141"/>
      <c r="DX136" s="141"/>
      <c r="DY136" s="141"/>
      <c r="DZ136" s="141"/>
      <c r="EA136" s="141"/>
      <c r="EB136" s="141"/>
      <c r="EC136" s="141"/>
      <c r="ED136" s="141"/>
      <c r="EE136" s="141"/>
      <c r="EF136" s="141"/>
      <c r="EG136" s="141"/>
      <c r="EH136" s="141"/>
      <c r="EI136" s="141"/>
      <c r="EJ136" s="141"/>
      <c r="EK136" s="141"/>
      <c r="EL136" s="141"/>
      <c r="EM136" s="141"/>
      <c r="EN136" s="141"/>
      <c r="EO136" s="141"/>
      <c r="EP136" s="141"/>
      <c r="EQ136" s="141"/>
      <c r="ER136" s="141"/>
      <c r="ES136" s="141"/>
      <c r="ET136" s="141"/>
      <c r="EU136" s="141"/>
      <c r="EV136" s="141"/>
      <c r="EW136" s="141"/>
      <c r="EX136" s="141"/>
      <c r="EY136" s="141"/>
      <c r="EZ136" s="141"/>
      <c r="FA136" s="141"/>
      <c r="FB136" s="141"/>
      <c r="FC136" s="141"/>
      <c r="FD136" s="141"/>
      <c r="FE136" s="141"/>
      <c r="FF136" s="141"/>
      <c r="FG136" s="141"/>
      <c r="FH136" s="141"/>
      <c r="FI136" s="141"/>
      <c r="FJ136" s="141"/>
      <c r="FK136" s="141"/>
      <c r="FL136" s="141"/>
      <c r="FM136" s="141"/>
      <c r="FN136" s="141"/>
      <c r="FO136" s="141"/>
      <c r="FP136" s="141"/>
      <c r="FQ136" s="141"/>
      <c r="FR136" s="141"/>
      <c r="FS136" s="141"/>
      <c r="FT136" s="141"/>
      <c r="FU136" s="141"/>
      <c r="FV136" s="141"/>
      <c r="FW136" s="141"/>
      <c r="FX136" s="141"/>
      <c r="FY136" s="141"/>
      <c r="FZ136" s="141"/>
      <c r="GA136" s="143"/>
    </row>
    <row r="137" spans="2:183" ht="34.95" customHeight="1" hidden="1" thickBot="1">
      <c r="B137" s="144" t="s">
        <v>152</v>
      </c>
      <c r="C137" s="141">
        <f>+C119-C135</f>
        <v>0</v>
      </c>
      <c r="D137" s="141">
        <f>IF(D132&gt;$C$123,0,C137-D135)</f>
        <v>0</v>
      </c>
      <c r="E137" s="141">
        <f aca="true" t="shared" si="112" ref="E137:BJ137">IF(E132&gt;$C$123,0,D137-E135)</f>
        <v>0</v>
      </c>
      <c r="F137" s="141">
        <f t="shared" si="112"/>
        <v>0</v>
      </c>
      <c r="G137" s="141">
        <f t="shared" si="112"/>
        <v>0</v>
      </c>
      <c r="H137" s="141">
        <f t="shared" si="112"/>
        <v>0</v>
      </c>
      <c r="I137" s="141">
        <f t="shared" si="112"/>
        <v>0</v>
      </c>
      <c r="J137" s="141">
        <f t="shared" si="112"/>
        <v>0</v>
      </c>
      <c r="K137" s="141">
        <f t="shared" si="112"/>
        <v>0</v>
      </c>
      <c r="L137" s="141">
        <f t="shared" si="112"/>
        <v>0</v>
      </c>
      <c r="M137" s="141">
        <f t="shared" si="112"/>
        <v>0</v>
      </c>
      <c r="N137" s="141">
        <f t="shared" si="112"/>
        <v>0</v>
      </c>
      <c r="O137" s="141">
        <f t="shared" si="112"/>
        <v>0</v>
      </c>
      <c r="P137" s="141">
        <f t="shared" si="112"/>
        <v>0</v>
      </c>
      <c r="Q137" s="141">
        <f t="shared" si="112"/>
        <v>0</v>
      </c>
      <c r="R137" s="141">
        <f t="shared" si="112"/>
        <v>0</v>
      </c>
      <c r="S137" s="141">
        <f t="shared" si="112"/>
        <v>0</v>
      </c>
      <c r="T137" s="141">
        <f t="shared" si="112"/>
        <v>0</v>
      </c>
      <c r="U137" s="141">
        <f t="shared" si="112"/>
        <v>0</v>
      </c>
      <c r="V137" s="141">
        <f t="shared" si="112"/>
        <v>0</v>
      </c>
      <c r="W137" s="141">
        <f t="shared" si="112"/>
        <v>0</v>
      </c>
      <c r="X137" s="141">
        <f t="shared" si="112"/>
        <v>0</v>
      </c>
      <c r="Y137" s="141">
        <f t="shared" si="112"/>
        <v>0</v>
      </c>
      <c r="Z137" s="141">
        <f t="shared" si="112"/>
        <v>0</v>
      </c>
      <c r="AA137" s="141">
        <f t="shared" si="112"/>
        <v>0</v>
      </c>
      <c r="AB137" s="141">
        <f t="shared" si="112"/>
        <v>0</v>
      </c>
      <c r="AC137" s="141">
        <f t="shared" si="112"/>
        <v>0</v>
      </c>
      <c r="AD137" s="141">
        <f t="shared" si="112"/>
        <v>0</v>
      </c>
      <c r="AE137" s="141">
        <f t="shared" si="112"/>
        <v>0</v>
      </c>
      <c r="AF137" s="141">
        <f t="shared" si="112"/>
        <v>0</v>
      </c>
      <c r="AG137" s="141">
        <f t="shared" si="112"/>
        <v>0</v>
      </c>
      <c r="AH137" s="141">
        <f t="shared" si="112"/>
        <v>0</v>
      </c>
      <c r="AI137" s="141">
        <f t="shared" si="112"/>
        <v>0</v>
      </c>
      <c r="AJ137" s="141">
        <f t="shared" si="112"/>
        <v>0</v>
      </c>
      <c r="AK137" s="141">
        <f t="shared" si="112"/>
        <v>0</v>
      </c>
      <c r="AL137" s="141">
        <f t="shared" si="112"/>
        <v>0</v>
      </c>
      <c r="AM137" s="141">
        <f t="shared" si="112"/>
        <v>0</v>
      </c>
      <c r="AN137" s="141">
        <f t="shared" si="112"/>
        <v>0</v>
      </c>
      <c r="AO137" s="141">
        <f t="shared" si="112"/>
        <v>0</v>
      </c>
      <c r="AP137" s="141">
        <f t="shared" si="112"/>
        <v>0</v>
      </c>
      <c r="AQ137" s="141">
        <f t="shared" si="112"/>
        <v>0</v>
      </c>
      <c r="AR137" s="141">
        <f t="shared" si="112"/>
        <v>0</v>
      </c>
      <c r="AS137" s="141">
        <f t="shared" si="112"/>
        <v>0</v>
      </c>
      <c r="AT137" s="141">
        <f t="shared" si="112"/>
        <v>0</v>
      </c>
      <c r="AU137" s="141">
        <f t="shared" si="112"/>
        <v>0</v>
      </c>
      <c r="AV137" s="141">
        <f t="shared" si="112"/>
        <v>0</v>
      </c>
      <c r="AW137" s="141">
        <f t="shared" si="112"/>
        <v>0</v>
      </c>
      <c r="AX137" s="141">
        <f t="shared" si="112"/>
        <v>0</v>
      </c>
      <c r="AY137" s="141">
        <f t="shared" si="112"/>
        <v>0</v>
      </c>
      <c r="AZ137" s="141">
        <f t="shared" si="112"/>
        <v>0</v>
      </c>
      <c r="BA137" s="141">
        <f t="shared" si="112"/>
        <v>0</v>
      </c>
      <c r="BB137" s="141">
        <f t="shared" si="112"/>
        <v>0</v>
      </c>
      <c r="BC137" s="141">
        <f t="shared" si="112"/>
        <v>0</v>
      </c>
      <c r="BD137" s="141">
        <f t="shared" si="112"/>
        <v>0</v>
      </c>
      <c r="BE137" s="141">
        <f t="shared" si="112"/>
        <v>0</v>
      </c>
      <c r="BF137" s="141">
        <f t="shared" si="112"/>
        <v>0</v>
      </c>
      <c r="BG137" s="141">
        <f t="shared" si="112"/>
        <v>0</v>
      </c>
      <c r="BH137" s="141">
        <f t="shared" si="112"/>
        <v>0</v>
      </c>
      <c r="BI137" s="141">
        <f t="shared" si="112"/>
        <v>0</v>
      </c>
      <c r="BJ137" s="141">
        <f t="shared" si="112"/>
        <v>0</v>
      </c>
      <c r="BK137" s="141"/>
      <c r="BL137" s="141"/>
      <c r="BM137" s="141"/>
      <c r="BN137" s="141"/>
      <c r="BO137" s="141"/>
      <c r="BP137" s="141"/>
      <c r="BQ137" s="141"/>
      <c r="BR137" s="141"/>
      <c r="BS137" s="141"/>
      <c r="BT137" s="141"/>
      <c r="BU137" s="141"/>
      <c r="BV137" s="141"/>
      <c r="BW137" s="141"/>
      <c r="BX137" s="141"/>
      <c r="BY137" s="141"/>
      <c r="BZ137" s="141"/>
      <c r="CA137" s="141"/>
      <c r="CB137" s="141"/>
      <c r="CC137" s="141"/>
      <c r="CD137" s="141"/>
      <c r="CE137" s="141"/>
      <c r="CF137" s="141"/>
      <c r="CG137" s="141"/>
      <c r="CH137" s="141"/>
      <c r="CI137" s="141"/>
      <c r="CJ137" s="141"/>
      <c r="CK137" s="141"/>
      <c r="CL137" s="141"/>
      <c r="CM137" s="141"/>
      <c r="CN137" s="141"/>
      <c r="CO137" s="141"/>
      <c r="CP137" s="141"/>
      <c r="CQ137" s="141"/>
      <c r="CR137" s="141"/>
      <c r="CS137" s="141"/>
      <c r="CT137" s="141"/>
      <c r="CU137" s="141"/>
      <c r="CV137" s="141"/>
      <c r="CW137" s="141"/>
      <c r="CX137" s="141"/>
      <c r="CY137" s="141"/>
      <c r="CZ137" s="141"/>
      <c r="DA137" s="141"/>
      <c r="DB137" s="141"/>
      <c r="DC137" s="141"/>
      <c r="DD137" s="141"/>
      <c r="DE137" s="141"/>
      <c r="DF137" s="141"/>
      <c r="DG137" s="141"/>
      <c r="DH137" s="141"/>
      <c r="DI137" s="141"/>
      <c r="DJ137" s="141"/>
      <c r="DK137" s="141"/>
      <c r="DL137" s="141"/>
      <c r="DM137" s="141"/>
      <c r="DN137" s="141"/>
      <c r="DO137" s="141"/>
      <c r="DP137" s="141"/>
      <c r="DQ137" s="141"/>
      <c r="DR137" s="141"/>
      <c r="DS137" s="141"/>
      <c r="DT137" s="141"/>
      <c r="DU137" s="141"/>
      <c r="DV137" s="141"/>
      <c r="DW137" s="141"/>
      <c r="DX137" s="141"/>
      <c r="DY137" s="141"/>
      <c r="DZ137" s="141"/>
      <c r="EA137" s="141"/>
      <c r="EB137" s="141"/>
      <c r="EC137" s="141"/>
      <c r="ED137" s="141"/>
      <c r="EE137" s="141"/>
      <c r="EF137" s="141"/>
      <c r="EG137" s="141"/>
      <c r="EH137" s="141"/>
      <c r="EI137" s="141"/>
      <c r="EJ137" s="141"/>
      <c r="EK137" s="141"/>
      <c r="EL137" s="141"/>
      <c r="EM137" s="141"/>
      <c r="EN137" s="141"/>
      <c r="EO137" s="141"/>
      <c r="EP137" s="141"/>
      <c r="EQ137" s="141"/>
      <c r="ER137" s="141"/>
      <c r="ES137" s="141"/>
      <c r="ET137" s="141"/>
      <c r="EU137" s="141"/>
      <c r="EV137" s="141"/>
      <c r="EW137" s="141"/>
      <c r="EX137" s="141"/>
      <c r="EY137" s="141"/>
      <c r="EZ137" s="141"/>
      <c r="FA137" s="141"/>
      <c r="FB137" s="141"/>
      <c r="FC137" s="141"/>
      <c r="FD137" s="141"/>
      <c r="FE137" s="141"/>
      <c r="FF137" s="141"/>
      <c r="FG137" s="141"/>
      <c r="FH137" s="141"/>
      <c r="FI137" s="141"/>
      <c r="FJ137" s="141"/>
      <c r="FK137" s="141"/>
      <c r="FL137" s="141"/>
      <c r="FM137" s="141"/>
      <c r="FN137" s="141"/>
      <c r="FO137" s="141"/>
      <c r="FP137" s="141"/>
      <c r="FQ137" s="141"/>
      <c r="FR137" s="141"/>
      <c r="FS137" s="141"/>
      <c r="FT137" s="141"/>
      <c r="FU137" s="141"/>
      <c r="FV137" s="141"/>
      <c r="FW137" s="141"/>
      <c r="FX137" s="141"/>
      <c r="FY137" s="141"/>
      <c r="FZ137" s="141"/>
      <c r="GA137" s="143"/>
    </row>
    <row r="138" ht="15.75" hidden="1"/>
    <row r="139" ht="15.75" hidden="1"/>
    <row r="140" spans="2:183" ht="16.2" thickBot="1">
      <c r="B140" s="1013"/>
      <c r="C140" s="1013"/>
      <c r="D140" s="1014"/>
      <c r="E140" s="1014"/>
      <c r="F140" s="1014"/>
      <c r="G140" s="1014"/>
      <c r="H140" s="1014"/>
      <c r="I140" s="1014"/>
      <c r="J140" s="1014"/>
      <c r="K140" s="1014"/>
      <c r="L140" s="1014"/>
      <c r="M140" s="1014"/>
      <c r="N140" s="1014"/>
      <c r="O140" s="1014"/>
      <c r="P140" s="1014"/>
      <c r="Q140" s="1014"/>
      <c r="R140" s="1014"/>
      <c r="S140" s="1014"/>
      <c r="T140" s="1014"/>
      <c r="U140" s="1014"/>
      <c r="V140" s="1014"/>
      <c r="W140" s="1014"/>
      <c r="X140" s="1014"/>
      <c r="Y140" s="1014"/>
      <c r="Z140" s="1014"/>
      <c r="AA140" s="1014"/>
      <c r="AB140" s="1014"/>
      <c r="AC140" s="1014"/>
      <c r="AD140" s="1014"/>
      <c r="AE140" s="1014"/>
      <c r="AF140" s="1014"/>
      <c r="AG140" s="1014"/>
      <c r="AH140" s="1014"/>
      <c r="AI140" s="1014"/>
      <c r="AJ140" s="1014"/>
      <c r="AK140" s="1014"/>
      <c r="AL140" s="1014"/>
      <c r="AM140" s="1014"/>
      <c r="AN140" s="1014"/>
      <c r="AO140" s="1014"/>
      <c r="AP140" s="1014"/>
      <c r="AQ140" s="1014"/>
      <c r="AR140" s="1014"/>
      <c r="AS140" s="1014"/>
      <c r="AT140" s="1014"/>
      <c r="AU140" s="1014"/>
      <c r="AV140" s="1014"/>
      <c r="AW140" s="1014"/>
      <c r="AX140" s="1014"/>
      <c r="AY140" s="1014"/>
      <c r="AZ140" s="1014"/>
      <c r="BA140" s="1014"/>
      <c r="BB140" s="1014"/>
      <c r="BC140" s="1014"/>
      <c r="BD140" s="1014"/>
      <c r="BE140" s="1014"/>
      <c r="BF140" s="1014"/>
      <c r="BG140" s="1014"/>
      <c r="BH140" s="1014"/>
      <c r="BI140" s="1014"/>
      <c r="BJ140" s="1014"/>
      <c r="BK140" s="1014"/>
      <c r="BL140" s="1014"/>
      <c r="BM140" s="1014"/>
      <c r="BN140" s="1014"/>
      <c r="BO140" s="1014"/>
      <c r="BP140" s="1014"/>
      <c r="BQ140" s="1014"/>
      <c r="BR140" s="1014"/>
      <c r="BS140" s="1014"/>
      <c r="BT140" s="1014"/>
      <c r="BU140" s="1014"/>
      <c r="BV140" s="1014"/>
      <c r="BW140" s="1014"/>
      <c r="BX140" s="1014"/>
      <c r="BY140" s="1014"/>
      <c r="BZ140" s="1014"/>
      <c r="CA140" s="1014"/>
      <c r="CB140" s="1014"/>
      <c r="CC140" s="1014"/>
      <c r="CD140" s="1014"/>
      <c r="CE140" s="1014"/>
      <c r="CF140" s="1014"/>
      <c r="CG140" s="1014"/>
      <c r="CH140" s="1014"/>
      <c r="CI140" s="1014"/>
      <c r="CJ140" s="1014"/>
      <c r="CK140" s="1014"/>
      <c r="CL140" s="1014"/>
      <c r="CM140" s="1014"/>
      <c r="CN140" s="1014"/>
      <c r="CO140" s="1014"/>
      <c r="CP140" s="1014"/>
      <c r="CQ140" s="1014"/>
      <c r="CR140" s="1014"/>
      <c r="CS140" s="1014"/>
      <c r="CT140" s="1014"/>
      <c r="CU140" s="1014"/>
      <c r="CV140" s="1014"/>
      <c r="CW140" s="1014"/>
      <c r="CX140" s="1014"/>
      <c r="CY140" s="1014"/>
      <c r="CZ140" s="1014"/>
      <c r="DA140" s="1014"/>
      <c r="DB140" s="1014"/>
      <c r="DC140" s="1014"/>
      <c r="DD140" s="1014"/>
      <c r="DE140" s="1014"/>
      <c r="DF140" s="1014"/>
      <c r="DG140" s="1014"/>
      <c r="DH140" s="1014"/>
      <c r="DI140" s="1014"/>
      <c r="DJ140" s="1014"/>
      <c r="DK140" s="1014"/>
      <c r="DL140" s="1014"/>
      <c r="DM140" s="1014"/>
      <c r="DN140" s="1014"/>
      <c r="DO140" s="1014"/>
      <c r="DP140" s="1014"/>
      <c r="DQ140" s="1014"/>
      <c r="DR140" s="1014"/>
      <c r="DS140" s="1014"/>
      <c r="DT140" s="1014"/>
      <c r="DU140" s="1014"/>
      <c r="DV140" s="1014"/>
      <c r="DW140" s="1014"/>
      <c r="DX140" s="1014"/>
      <c r="DY140" s="1014"/>
      <c r="DZ140" s="1014"/>
      <c r="EA140" s="1014"/>
      <c r="EB140" s="1014"/>
      <c r="EC140" s="1014"/>
      <c r="ED140" s="1014"/>
      <c r="EE140" s="1014"/>
      <c r="EF140" s="1014"/>
      <c r="EG140" s="1014"/>
      <c r="EH140" s="1014"/>
      <c r="EI140" s="1014"/>
      <c r="EJ140" s="1014"/>
      <c r="EK140" s="1014"/>
      <c r="EL140" s="1014"/>
      <c r="EM140" s="1014"/>
      <c r="EN140" s="1014"/>
      <c r="EO140" s="1014"/>
      <c r="EP140" s="1014"/>
      <c r="EQ140" s="1014"/>
      <c r="ER140" s="1014"/>
      <c r="ES140" s="1014"/>
      <c r="ET140" s="1014"/>
      <c r="EU140" s="1014"/>
      <c r="EV140" s="1014"/>
      <c r="EW140" s="1014"/>
      <c r="EX140" s="1014"/>
      <c r="EY140" s="1014"/>
      <c r="EZ140" s="1014"/>
      <c r="FA140" s="1014"/>
      <c r="FB140" s="1014"/>
      <c r="FC140" s="1014"/>
      <c r="FD140" s="1014"/>
      <c r="FE140" s="1014"/>
      <c r="FF140" s="1014"/>
      <c r="FG140" s="1014"/>
      <c r="FH140" s="1014"/>
      <c r="FI140" s="1014"/>
      <c r="FJ140" s="1014"/>
      <c r="FK140" s="1014"/>
      <c r="FL140" s="1014"/>
      <c r="FM140" s="1014"/>
      <c r="FN140" s="1014"/>
      <c r="FO140" s="1014"/>
      <c r="FP140" s="1014"/>
      <c r="FQ140" s="1014"/>
      <c r="FR140" s="1014"/>
      <c r="FS140" s="1014"/>
      <c r="FT140" s="1014"/>
      <c r="FU140" s="1014"/>
      <c r="FV140" s="1014"/>
      <c r="FW140" s="1014"/>
      <c r="FX140" s="1014"/>
      <c r="FY140" s="1014"/>
      <c r="FZ140" s="1014"/>
      <c r="GA140" s="1014"/>
    </row>
    <row r="141" spans="2:183" ht="16.2" thickBot="1">
      <c r="B141" s="1013"/>
      <c r="C141" s="1013"/>
      <c r="D141" s="1014"/>
      <c r="E141" s="1014"/>
      <c r="F141" s="1014"/>
      <c r="G141" s="1014"/>
      <c r="H141" s="1014"/>
      <c r="I141" s="1014"/>
      <c r="J141" s="1014"/>
      <c r="K141" s="1014"/>
      <c r="L141" s="1014"/>
      <c r="M141" s="1014"/>
      <c r="N141" s="1014"/>
      <c r="O141" s="1014"/>
      <c r="P141" s="1014"/>
      <c r="Q141" s="1014"/>
      <c r="R141" s="1014"/>
      <c r="S141" s="1014"/>
      <c r="T141" s="1014"/>
      <c r="U141" s="1014"/>
      <c r="V141" s="1014"/>
      <c r="W141" s="1014"/>
      <c r="X141" s="1014"/>
      <c r="Y141" s="1014"/>
      <c r="Z141" s="1014"/>
      <c r="AA141" s="1014"/>
      <c r="AB141" s="1014"/>
      <c r="AC141" s="1014"/>
      <c r="AD141" s="1014"/>
      <c r="AE141" s="1014"/>
      <c r="AF141" s="1014"/>
      <c r="AG141" s="1014"/>
      <c r="AH141" s="1014"/>
      <c r="AI141" s="1014"/>
      <c r="AJ141" s="1014"/>
      <c r="AK141" s="1014"/>
      <c r="AL141" s="1014"/>
      <c r="AM141" s="1014"/>
      <c r="AN141" s="1014"/>
      <c r="AO141" s="1014"/>
      <c r="AP141" s="1014"/>
      <c r="AQ141" s="1014"/>
      <c r="AR141" s="1014"/>
      <c r="AS141" s="1014"/>
      <c r="AT141" s="1014"/>
      <c r="AU141" s="1014"/>
      <c r="AV141" s="1014"/>
      <c r="AW141" s="1014"/>
      <c r="AX141" s="1014"/>
      <c r="AY141" s="1014"/>
      <c r="AZ141" s="1014"/>
      <c r="BA141" s="1014"/>
      <c r="BB141" s="1014"/>
      <c r="BC141" s="1014"/>
      <c r="BD141" s="1014"/>
      <c r="BE141" s="1014"/>
      <c r="BF141" s="1014"/>
      <c r="BG141" s="1014"/>
      <c r="BH141" s="1014"/>
      <c r="BI141" s="1014"/>
      <c r="BJ141" s="1014"/>
      <c r="BK141" s="1014"/>
      <c r="BL141" s="1014"/>
      <c r="BM141" s="1014"/>
      <c r="BN141" s="1014"/>
      <c r="BO141" s="1014"/>
      <c r="BP141" s="1014"/>
      <c r="BQ141" s="1014"/>
      <c r="BR141" s="1014"/>
      <c r="BS141" s="1014"/>
      <c r="BT141" s="1014"/>
      <c r="BU141" s="1014"/>
      <c r="BV141" s="1014"/>
      <c r="BW141" s="1014"/>
      <c r="BX141" s="1014"/>
      <c r="BY141" s="1014"/>
      <c r="BZ141" s="1014"/>
      <c r="CA141" s="1014"/>
      <c r="CB141" s="1014"/>
      <c r="CC141" s="1014"/>
      <c r="CD141" s="1014"/>
      <c r="CE141" s="1014"/>
      <c r="CF141" s="1014"/>
      <c r="CG141" s="1014"/>
      <c r="CH141" s="1014"/>
      <c r="CI141" s="1014"/>
      <c r="CJ141" s="1014"/>
      <c r="CK141" s="1014"/>
      <c r="CL141" s="1014"/>
      <c r="CM141" s="1014"/>
      <c r="CN141" s="1014"/>
      <c r="CO141" s="1014"/>
      <c r="CP141" s="1014"/>
      <c r="CQ141" s="1014"/>
      <c r="CR141" s="1014"/>
      <c r="CS141" s="1014"/>
      <c r="CT141" s="1014"/>
      <c r="CU141" s="1014"/>
      <c r="CV141" s="1014"/>
      <c r="CW141" s="1014"/>
      <c r="CX141" s="1014"/>
      <c r="CY141" s="1014"/>
      <c r="CZ141" s="1014"/>
      <c r="DA141" s="1014"/>
      <c r="DB141" s="1014"/>
      <c r="DC141" s="1014"/>
      <c r="DD141" s="1014"/>
      <c r="DE141" s="1014"/>
      <c r="DF141" s="1014"/>
      <c r="DG141" s="1014"/>
      <c r="DH141" s="1014"/>
      <c r="DI141" s="1014"/>
      <c r="DJ141" s="1014"/>
      <c r="DK141" s="1014"/>
      <c r="DL141" s="1014"/>
      <c r="DM141" s="1014"/>
      <c r="DN141" s="1014"/>
      <c r="DO141" s="1014"/>
      <c r="DP141" s="1014"/>
      <c r="DQ141" s="1014"/>
      <c r="DR141" s="1014"/>
      <c r="DS141" s="1014"/>
      <c r="DT141" s="1014"/>
      <c r="DU141" s="1014"/>
      <c r="DV141" s="1014"/>
      <c r="DW141" s="1014"/>
      <c r="DX141" s="1014"/>
      <c r="DY141" s="1014"/>
      <c r="DZ141" s="1014"/>
      <c r="EA141" s="1014"/>
      <c r="EB141" s="1014"/>
      <c r="EC141" s="1014"/>
      <c r="ED141" s="1014"/>
      <c r="EE141" s="1014"/>
      <c r="EF141" s="1014"/>
      <c r="EG141" s="1014"/>
      <c r="EH141" s="1014"/>
      <c r="EI141" s="1014"/>
      <c r="EJ141" s="1014"/>
      <c r="EK141" s="1014"/>
      <c r="EL141" s="1014"/>
      <c r="EM141" s="1014"/>
      <c r="EN141" s="1014"/>
      <c r="EO141" s="1014"/>
      <c r="EP141" s="1014"/>
      <c r="EQ141" s="1014"/>
      <c r="ER141" s="1014"/>
      <c r="ES141" s="1014"/>
      <c r="ET141" s="1014"/>
      <c r="EU141" s="1014"/>
      <c r="EV141" s="1014"/>
      <c r="EW141" s="1014"/>
      <c r="EX141" s="1014"/>
      <c r="EY141" s="1014"/>
      <c r="EZ141" s="1014"/>
      <c r="FA141" s="1014"/>
      <c r="FB141" s="1014"/>
      <c r="FC141" s="1014"/>
      <c r="FD141" s="1014"/>
      <c r="FE141" s="1014"/>
      <c r="FF141" s="1014"/>
      <c r="FG141" s="1014"/>
      <c r="FH141" s="1014"/>
      <c r="FI141" s="1014"/>
      <c r="FJ141" s="1014"/>
      <c r="FK141" s="1014"/>
      <c r="FL141" s="1014"/>
      <c r="FM141" s="1014"/>
      <c r="FN141" s="1014"/>
      <c r="FO141" s="1014"/>
      <c r="FP141" s="1014"/>
      <c r="FQ141" s="1014"/>
      <c r="FR141" s="1014"/>
      <c r="FS141" s="1014"/>
      <c r="FT141" s="1014"/>
      <c r="FU141" s="1014"/>
      <c r="FV141" s="1014"/>
      <c r="FW141" s="1014"/>
      <c r="FX141" s="1014"/>
      <c r="FY141" s="1014"/>
      <c r="FZ141" s="1014"/>
      <c r="GA141" s="1014"/>
    </row>
    <row r="143" ht="15.75">
      <c r="B143" s="1015" t="s">
        <v>205</v>
      </c>
    </row>
    <row r="144" ht="16.2" thickBot="1"/>
    <row r="145" spans="2:186" ht="34.95" customHeight="1" thickBot="1">
      <c r="B145" s="139" t="s">
        <v>146</v>
      </c>
      <c r="C145" s="964">
        <v>1</v>
      </c>
      <c r="D145" s="964">
        <f>+C145+1</f>
        <v>2</v>
      </c>
      <c r="E145" s="964">
        <f aca="true" t="shared" si="113" ref="E145:BP145">+D145+1</f>
        <v>3</v>
      </c>
      <c r="F145" s="964">
        <f t="shared" si="113"/>
        <v>4</v>
      </c>
      <c r="G145" s="964">
        <f t="shared" si="113"/>
        <v>5</v>
      </c>
      <c r="H145" s="964">
        <f t="shared" si="113"/>
        <v>6</v>
      </c>
      <c r="I145" s="964">
        <f t="shared" si="113"/>
        <v>7</v>
      </c>
      <c r="J145" s="964">
        <f t="shared" si="113"/>
        <v>8</v>
      </c>
      <c r="K145" s="964">
        <f t="shared" si="113"/>
        <v>9</v>
      </c>
      <c r="L145" s="964">
        <f t="shared" si="113"/>
        <v>10</v>
      </c>
      <c r="M145" s="964">
        <f t="shared" si="113"/>
        <v>11</v>
      </c>
      <c r="N145" s="964">
        <f t="shared" si="113"/>
        <v>12</v>
      </c>
      <c r="O145" s="964">
        <f t="shared" si="113"/>
        <v>13</v>
      </c>
      <c r="P145" s="964">
        <f t="shared" si="113"/>
        <v>14</v>
      </c>
      <c r="Q145" s="964">
        <f t="shared" si="113"/>
        <v>15</v>
      </c>
      <c r="R145" s="964">
        <f t="shared" si="113"/>
        <v>16</v>
      </c>
      <c r="S145" s="964">
        <f t="shared" si="113"/>
        <v>17</v>
      </c>
      <c r="T145" s="964">
        <f t="shared" si="113"/>
        <v>18</v>
      </c>
      <c r="U145" s="964">
        <f t="shared" si="113"/>
        <v>19</v>
      </c>
      <c r="V145" s="964">
        <f t="shared" si="113"/>
        <v>20</v>
      </c>
      <c r="W145" s="964">
        <f t="shared" si="113"/>
        <v>21</v>
      </c>
      <c r="X145" s="964">
        <f t="shared" si="113"/>
        <v>22</v>
      </c>
      <c r="Y145" s="964">
        <f t="shared" si="113"/>
        <v>23</v>
      </c>
      <c r="Z145" s="964">
        <f t="shared" si="113"/>
        <v>24</v>
      </c>
      <c r="AA145" s="964">
        <f>+Z145+1</f>
        <v>25</v>
      </c>
      <c r="AB145" s="964">
        <f t="shared" si="113"/>
        <v>26</v>
      </c>
      <c r="AC145" s="964">
        <f t="shared" si="113"/>
        <v>27</v>
      </c>
      <c r="AD145" s="964">
        <f t="shared" si="113"/>
        <v>28</v>
      </c>
      <c r="AE145" s="964">
        <f t="shared" si="113"/>
        <v>29</v>
      </c>
      <c r="AF145" s="964">
        <f t="shared" si="113"/>
        <v>30</v>
      </c>
      <c r="AG145" s="964">
        <f t="shared" si="113"/>
        <v>31</v>
      </c>
      <c r="AH145" s="964">
        <f t="shared" si="113"/>
        <v>32</v>
      </c>
      <c r="AI145" s="964">
        <f t="shared" si="113"/>
        <v>33</v>
      </c>
      <c r="AJ145" s="964">
        <f t="shared" si="113"/>
        <v>34</v>
      </c>
      <c r="AK145" s="964">
        <f t="shared" si="113"/>
        <v>35</v>
      </c>
      <c r="AL145" s="964">
        <f t="shared" si="113"/>
        <v>36</v>
      </c>
      <c r="AM145" s="964">
        <f t="shared" si="113"/>
        <v>37</v>
      </c>
      <c r="AN145" s="964">
        <f t="shared" si="113"/>
        <v>38</v>
      </c>
      <c r="AO145" s="964">
        <f t="shared" si="113"/>
        <v>39</v>
      </c>
      <c r="AP145" s="964">
        <f t="shared" si="113"/>
        <v>40</v>
      </c>
      <c r="AQ145" s="964">
        <f t="shared" si="113"/>
        <v>41</v>
      </c>
      <c r="AR145" s="964">
        <f t="shared" si="113"/>
        <v>42</v>
      </c>
      <c r="AS145" s="964">
        <f t="shared" si="113"/>
        <v>43</v>
      </c>
      <c r="AT145" s="964">
        <f t="shared" si="113"/>
        <v>44</v>
      </c>
      <c r="AU145" s="964">
        <f t="shared" si="113"/>
        <v>45</v>
      </c>
      <c r="AV145" s="964">
        <f t="shared" si="113"/>
        <v>46</v>
      </c>
      <c r="AW145" s="964">
        <f t="shared" si="113"/>
        <v>47</v>
      </c>
      <c r="AX145" s="964">
        <f t="shared" si="113"/>
        <v>48</v>
      </c>
      <c r="AY145" s="964">
        <f t="shared" si="113"/>
        <v>49</v>
      </c>
      <c r="AZ145" s="964">
        <f t="shared" si="113"/>
        <v>50</v>
      </c>
      <c r="BA145" s="964">
        <f t="shared" si="113"/>
        <v>51</v>
      </c>
      <c r="BB145" s="964">
        <f t="shared" si="113"/>
        <v>52</v>
      </c>
      <c r="BC145" s="964">
        <f t="shared" si="113"/>
        <v>53</v>
      </c>
      <c r="BD145" s="964">
        <f t="shared" si="113"/>
        <v>54</v>
      </c>
      <c r="BE145" s="964">
        <f t="shared" si="113"/>
        <v>55</v>
      </c>
      <c r="BF145" s="964">
        <f t="shared" si="113"/>
        <v>56</v>
      </c>
      <c r="BG145" s="964">
        <f t="shared" si="113"/>
        <v>57</v>
      </c>
      <c r="BH145" s="964">
        <f t="shared" si="113"/>
        <v>58</v>
      </c>
      <c r="BI145" s="964">
        <f t="shared" si="113"/>
        <v>59</v>
      </c>
      <c r="BJ145" s="964">
        <f t="shared" si="113"/>
        <v>60</v>
      </c>
      <c r="BK145" s="964">
        <f t="shared" si="113"/>
        <v>61</v>
      </c>
      <c r="BL145" s="964">
        <f t="shared" si="113"/>
        <v>62</v>
      </c>
      <c r="BM145" s="964">
        <f t="shared" si="113"/>
        <v>63</v>
      </c>
      <c r="BN145" s="964">
        <f t="shared" si="113"/>
        <v>64</v>
      </c>
      <c r="BO145" s="964">
        <f t="shared" si="113"/>
        <v>65</v>
      </c>
      <c r="BP145" s="964">
        <f t="shared" si="113"/>
        <v>66</v>
      </c>
      <c r="BQ145" s="964">
        <f aca="true" t="shared" si="114" ref="BQ145:BW145">+BP145+1</f>
        <v>67</v>
      </c>
      <c r="BR145" s="964">
        <f t="shared" si="114"/>
        <v>68</v>
      </c>
      <c r="BS145" s="964">
        <f t="shared" si="114"/>
        <v>69</v>
      </c>
      <c r="BT145" s="964">
        <f t="shared" si="114"/>
        <v>70</v>
      </c>
      <c r="BU145" s="964">
        <f t="shared" si="114"/>
        <v>71</v>
      </c>
      <c r="BV145" s="964">
        <f t="shared" si="114"/>
        <v>72</v>
      </c>
      <c r="BW145" s="964">
        <f t="shared" si="114"/>
        <v>73</v>
      </c>
      <c r="BX145" s="964"/>
      <c r="BY145" s="964"/>
      <c r="BZ145" s="964"/>
      <c r="CA145" s="964"/>
      <c r="CB145" s="964"/>
      <c r="CC145" s="964"/>
      <c r="CD145" s="964"/>
      <c r="CE145" s="964"/>
      <c r="CF145" s="964"/>
      <c r="CG145" s="964"/>
      <c r="CH145" s="964"/>
      <c r="CI145" s="965"/>
      <c r="GC145" s="81"/>
      <c r="GD145" s="81"/>
    </row>
    <row r="146" spans="2:186" ht="34.95" customHeight="1" thickBot="1">
      <c r="B146" s="140" t="s">
        <v>147</v>
      </c>
      <c r="C146" s="1007">
        <f>+C22</f>
        <v>43466</v>
      </c>
      <c r="D146" s="1007">
        <f aca="true" t="shared" si="115" ref="D146:N147">+D22</f>
        <v>43497</v>
      </c>
      <c r="E146" s="1007">
        <f t="shared" si="115"/>
        <v>43528</v>
      </c>
      <c r="F146" s="1007">
        <f t="shared" si="115"/>
        <v>43559</v>
      </c>
      <c r="G146" s="1007">
        <f t="shared" si="115"/>
        <v>43590</v>
      </c>
      <c r="H146" s="1007">
        <f t="shared" si="115"/>
        <v>43621</v>
      </c>
      <c r="I146" s="1007">
        <f t="shared" si="115"/>
        <v>43652</v>
      </c>
      <c r="J146" s="1007">
        <f t="shared" si="115"/>
        <v>43683</v>
      </c>
      <c r="K146" s="1007">
        <f t="shared" si="115"/>
        <v>43714</v>
      </c>
      <c r="L146" s="1007">
        <f t="shared" si="115"/>
        <v>43745</v>
      </c>
      <c r="M146" s="1007">
        <f t="shared" si="115"/>
        <v>43776</v>
      </c>
      <c r="N146" s="1007">
        <f t="shared" si="115"/>
        <v>43807</v>
      </c>
      <c r="O146" s="1007">
        <v>43831</v>
      </c>
      <c r="P146" s="1007">
        <f>+O146+31</f>
        <v>43862</v>
      </c>
      <c r="Q146" s="1007">
        <f>+P146+31</f>
        <v>43893</v>
      </c>
      <c r="R146" s="1007">
        <f aca="true" t="shared" si="116" ref="R146:BW146">+Q146+31</f>
        <v>43924</v>
      </c>
      <c r="S146" s="1007">
        <f t="shared" si="116"/>
        <v>43955</v>
      </c>
      <c r="T146" s="1007">
        <f t="shared" si="116"/>
        <v>43986</v>
      </c>
      <c r="U146" s="1007">
        <f t="shared" si="116"/>
        <v>44017</v>
      </c>
      <c r="V146" s="1007">
        <f t="shared" si="116"/>
        <v>44048</v>
      </c>
      <c r="W146" s="1007">
        <f t="shared" si="116"/>
        <v>44079</v>
      </c>
      <c r="X146" s="1007">
        <f t="shared" si="116"/>
        <v>44110</v>
      </c>
      <c r="Y146" s="1007">
        <f t="shared" si="116"/>
        <v>44141</v>
      </c>
      <c r="Z146" s="1007">
        <f t="shared" si="116"/>
        <v>44172</v>
      </c>
      <c r="AA146" s="1007">
        <f t="shared" si="116"/>
        <v>44203</v>
      </c>
      <c r="AB146" s="1007">
        <f t="shared" si="116"/>
        <v>44234</v>
      </c>
      <c r="AC146" s="1007">
        <f t="shared" si="116"/>
        <v>44265</v>
      </c>
      <c r="AD146" s="1007">
        <f t="shared" si="116"/>
        <v>44296</v>
      </c>
      <c r="AE146" s="1007">
        <f t="shared" si="116"/>
        <v>44327</v>
      </c>
      <c r="AF146" s="1007">
        <f t="shared" si="116"/>
        <v>44358</v>
      </c>
      <c r="AG146" s="1007">
        <f t="shared" si="116"/>
        <v>44389</v>
      </c>
      <c r="AH146" s="1007">
        <f t="shared" si="116"/>
        <v>44420</v>
      </c>
      <c r="AI146" s="1007">
        <f t="shared" si="116"/>
        <v>44451</v>
      </c>
      <c r="AJ146" s="1007">
        <f t="shared" si="116"/>
        <v>44482</v>
      </c>
      <c r="AK146" s="1007">
        <f t="shared" si="116"/>
        <v>44513</v>
      </c>
      <c r="AL146" s="1007">
        <f t="shared" si="116"/>
        <v>44544</v>
      </c>
      <c r="AM146" s="1007">
        <f t="shared" si="116"/>
        <v>44575</v>
      </c>
      <c r="AN146" s="1007">
        <f t="shared" si="116"/>
        <v>44606</v>
      </c>
      <c r="AO146" s="1007">
        <f t="shared" si="116"/>
        <v>44637</v>
      </c>
      <c r="AP146" s="1007">
        <f t="shared" si="116"/>
        <v>44668</v>
      </c>
      <c r="AQ146" s="1007">
        <f t="shared" si="116"/>
        <v>44699</v>
      </c>
      <c r="AR146" s="1007">
        <f t="shared" si="116"/>
        <v>44730</v>
      </c>
      <c r="AS146" s="1007">
        <f t="shared" si="116"/>
        <v>44761</v>
      </c>
      <c r="AT146" s="1007">
        <f t="shared" si="116"/>
        <v>44792</v>
      </c>
      <c r="AU146" s="1007">
        <f t="shared" si="116"/>
        <v>44823</v>
      </c>
      <c r="AV146" s="1007">
        <f t="shared" si="116"/>
        <v>44854</v>
      </c>
      <c r="AW146" s="1007">
        <f t="shared" si="116"/>
        <v>44885</v>
      </c>
      <c r="AX146" s="1007">
        <f t="shared" si="116"/>
        <v>44916</v>
      </c>
      <c r="AY146" s="1007">
        <f t="shared" si="116"/>
        <v>44947</v>
      </c>
      <c r="AZ146" s="1007">
        <f t="shared" si="116"/>
        <v>44978</v>
      </c>
      <c r="BA146" s="1007">
        <f t="shared" si="116"/>
        <v>45009</v>
      </c>
      <c r="BB146" s="1007">
        <f t="shared" si="116"/>
        <v>45040</v>
      </c>
      <c r="BC146" s="1007">
        <f t="shared" si="116"/>
        <v>45071</v>
      </c>
      <c r="BD146" s="1007">
        <f t="shared" si="116"/>
        <v>45102</v>
      </c>
      <c r="BE146" s="1007">
        <f t="shared" si="116"/>
        <v>45133</v>
      </c>
      <c r="BF146" s="1007">
        <f t="shared" si="116"/>
        <v>45164</v>
      </c>
      <c r="BG146" s="1007">
        <f t="shared" si="116"/>
        <v>45195</v>
      </c>
      <c r="BH146" s="1007">
        <f t="shared" si="116"/>
        <v>45226</v>
      </c>
      <c r="BI146" s="1007">
        <f t="shared" si="116"/>
        <v>45257</v>
      </c>
      <c r="BJ146" s="1007">
        <f t="shared" si="116"/>
        <v>45288</v>
      </c>
      <c r="BK146" s="1007">
        <f t="shared" si="116"/>
        <v>45319</v>
      </c>
      <c r="BL146" s="1007">
        <f t="shared" si="116"/>
        <v>45350</v>
      </c>
      <c r="BM146" s="1007">
        <f t="shared" si="116"/>
        <v>45381</v>
      </c>
      <c r="BN146" s="1007">
        <f>+BM146+11</f>
        <v>45392</v>
      </c>
      <c r="BO146" s="1007">
        <f t="shared" si="116"/>
        <v>45423</v>
      </c>
      <c r="BP146" s="1007">
        <f t="shared" si="116"/>
        <v>45454</v>
      </c>
      <c r="BQ146" s="1007">
        <f t="shared" si="116"/>
        <v>45485</v>
      </c>
      <c r="BR146" s="1007">
        <f t="shared" si="116"/>
        <v>45516</v>
      </c>
      <c r="BS146" s="1007">
        <f t="shared" si="116"/>
        <v>45547</v>
      </c>
      <c r="BT146" s="1007">
        <f t="shared" si="116"/>
        <v>45578</v>
      </c>
      <c r="BU146" s="1007">
        <f t="shared" si="116"/>
        <v>45609</v>
      </c>
      <c r="BV146" s="1007">
        <f t="shared" si="116"/>
        <v>45640</v>
      </c>
      <c r="BW146" s="1007">
        <f t="shared" si="116"/>
        <v>45671</v>
      </c>
      <c r="BX146" s="1007"/>
      <c r="BY146" s="1007"/>
      <c r="BZ146" s="1007"/>
      <c r="CA146" s="1007"/>
      <c r="CB146" s="1007"/>
      <c r="CC146" s="1007"/>
      <c r="CD146" s="1007"/>
      <c r="CE146" s="1007"/>
      <c r="CF146" s="1007"/>
      <c r="CG146" s="1007"/>
      <c r="CH146" s="1007"/>
      <c r="CI146" s="1008"/>
      <c r="GC146" s="81"/>
      <c r="GD146" s="1009"/>
    </row>
    <row r="147" spans="2:186" ht="34.95" customHeight="1" thickBot="1">
      <c r="B147" s="140" t="s">
        <v>154</v>
      </c>
      <c r="C147" s="141">
        <f>+C23</f>
        <v>0</v>
      </c>
      <c r="D147" s="141">
        <f t="shared" si="115"/>
        <v>0</v>
      </c>
      <c r="E147" s="141">
        <f t="shared" si="115"/>
        <v>0</v>
      </c>
      <c r="F147" s="141">
        <f t="shared" si="115"/>
        <v>0</v>
      </c>
      <c r="G147" s="141">
        <f t="shared" si="115"/>
        <v>0</v>
      </c>
      <c r="H147" s="141">
        <f t="shared" si="115"/>
        <v>0</v>
      </c>
      <c r="I147" s="141">
        <f t="shared" si="115"/>
        <v>0</v>
      </c>
      <c r="J147" s="141">
        <f t="shared" si="115"/>
        <v>0</v>
      </c>
      <c r="K147" s="141">
        <f t="shared" si="115"/>
        <v>0</v>
      </c>
      <c r="L147" s="141">
        <f t="shared" si="115"/>
        <v>0</v>
      </c>
      <c r="M147" s="141">
        <f t="shared" si="115"/>
        <v>0</v>
      </c>
      <c r="N147" s="141">
        <f t="shared" si="115"/>
        <v>0</v>
      </c>
      <c r="O147" s="141">
        <f aca="true" t="shared" si="117" ref="O147:Z149">+O23+C46</f>
        <v>0</v>
      </c>
      <c r="P147" s="141">
        <f t="shared" si="117"/>
        <v>0</v>
      </c>
      <c r="Q147" s="141">
        <f t="shared" si="117"/>
        <v>0</v>
      </c>
      <c r="R147" s="141">
        <f t="shared" si="117"/>
        <v>0</v>
      </c>
      <c r="S147" s="141">
        <f t="shared" si="117"/>
        <v>0</v>
      </c>
      <c r="T147" s="141">
        <f t="shared" si="117"/>
        <v>5.166666666666667</v>
      </c>
      <c r="U147" s="141">
        <f t="shared" si="117"/>
        <v>5.166666666666667</v>
      </c>
      <c r="V147" s="141">
        <f t="shared" si="117"/>
        <v>5.166666666666667</v>
      </c>
      <c r="W147" s="141">
        <f t="shared" si="117"/>
        <v>5.166666666666667</v>
      </c>
      <c r="X147" s="141">
        <f t="shared" si="117"/>
        <v>5.166666666666667</v>
      </c>
      <c r="Y147" s="141">
        <f t="shared" si="117"/>
        <v>5.166666666666667</v>
      </c>
      <c r="Z147" s="141">
        <f t="shared" si="117"/>
        <v>5.166666666666667</v>
      </c>
      <c r="AA147" s="141">
        <f aca="true" t="shared" si="118" ref="AA147:AL149">+AA23+O46+C68</f>
        <v>5.166666666666667</v>
      </c>
      <c r="AB147" s="141">
        <f t="shared" si="118"/>
        <v>5.166666666666667</v>
      </c>
      <c r="AC147" s="141">
        <f t="shared" si="118"/>
        <v>5.166666666666667</v>
      </c>
      <c r="AD147" s="141">
        <f t="shared" si="118"/>
        <v>5.166666666666667</v>
      </c>
      <c r="AE147" s="141">
        <f t="shared" si="118"/>
        <v>5.166666666666667</v>
      </c>
      <c r="AF147" s="141">
        <f t="shared" si="118"/>
        <v>5.166666666666667</v>
      </c>
      <c r="AG147" s="141">
        <f t="shared" si="118"/>
        <v>5.166666666666667</v>
      </c>
      <c r="AH147" s="141">
        <f t="shared" si="118"/>
        <v>5.166666666666667</v>
      </c>
      <c r="AI147" s="141">
        <f t="shared" si="118"/>
        <v>5.166666666666667</v>
      </c>
      <c r="AJ147" s="141">
        <f t="shared" si="118"/>
        <v>5.166666666666667</v>
      </c>
      <c r="AK147" s="141">
        <f t="shared" si="118"/>
        <v>5.166666666666667</v>
      </c>
      <c r="AL147" s="141">
        <f t="shared" si="118"/>
        <v>5.166666666666667</v>
      </c>
      <c r="AM147" s="141">
        <f aca="true" t="shared" si="119" ref="AM147:AX149">+AM23+AA46+O68+C90</f>
        <v>5.166666666666667</v>
      </c>
      <c r="AN147" s="141">
        <f t="shared" si="119"/>
        <v>5.166666666666667</v>
      </c>
      <c r="AO147" s="141">
        <f t="shared" si="119"/>
        <v>5.166666666666667</v>
      </c>
      <c r="AP147" s="141">
        <f t="shared" si="119"/>
        <v>5.166666666666667</v>
      </c>
      <c r="AQ147" s="141">
        <f t="shared" si="119"/>
        <v>5.166666666666667</v>
      </c>
      <c r="AR147" s="141">
        <f t="shared" si="119"/>
        <v>131.82102656424667</v>
      </c>
      <c r="AS147" s="141">
        <f t="shared" si="119"/>
        <v>131.82102656424667</v>
      </c>
      <c r="AT147" s="141">
        <f t="shared" si="119"/>
        <v>131.8210265642467</v>
      </c>
      <c r="AU147" s="141">
        <f t="shared" si="119"/>
        <v>131.82102656424667</v>
      </c>
      <c r="AV147" s="141">
        <f t="shared" si="119"/>
        <v>131.82102656424667</v>
      </c>
      <c r="AW147" s="141">
        <f t="shared" si="119"/>
        <v>131.8210265642467</v>
      </c>
      <c r="AX147" s="141">
        <f t="shared" si="119"/>
        <v>131.8210265642467</v>
      </c>
      <c r="AY147" s="141">
        <f aca="true" t="shared" si="120" ref="AY147:BJ149">+AY23+AM46+AA68+O90+C112</f>
        <v>131.8210265642467</v>
      </c>
      <c r="AZ147" s="141">
        <f t="shared" si="120"/>
        <v>131.82102656424667</v>
      </c>
      <c r="BA147" s="141">
        <f t="shared" si="120"/>
        <v>131.82102656424667</v>
      </c>
      <c r="BB147" s="141">
        <f t="shared" si="120"/>
        <v>131.82102656424667</v>
      </c>
      <c r="BC147" s="141">
        <f t="shared" si="120"/>
        <v>131.82102656424667</v>
      </c>
      <c r="BD147" s="141">
        <f t="shared" si="120"/>
        <v>131.82102656424667</v>
      </c>
      <c r="BE147" s="141">
        <f t="shared" si="120"/>
        <v>131.82102656424667</v>
      </c>
      <c r="BF147" s="141">
        <f t="shared" si="120"/>
        <v>131.82102656424667</v>
      </c>
      <c r="BG147" s="141">
        <f t="shared" si="120"/>
        <v>131.82102656424667</v>
      </c>
      <c r="BH147" s="141">
        <f t="shared" si="120"/>
        <v>131.82102656424667</v>
      </c>
      <c r="BI147" s="141">
        <f t="shared" si="120"/>
        <v>131.8210265642467</v>
      </c>
      <c r="BJ147" s="141">
        <f t="shared" si="120"/>
        <v>131.8210265642467</v>
      </c>
      <c r="BK147" s="141">
        <f>+BK23+AY46+AM68+AA90+O112+C134</f>
        <v>131.82102656424667</v>
      </c>
      <c r="BL147" s="141">
        <f aca="true" t="shared" si="121" ref="BL147:BW149">+BL23+AZ46+AN68+AB90+P112+D134</f>
        <v>131.82102656424667</v>
      </c>
      <c r="BM147" s="141">
        <f t="shared" si="121"/>
        <v>131.8210265642467</v>
      </c>
      <c r="BN147" s="141">
        <f t="shared" si="121"/>
        <v>131.82102656424667</v>
      </c>
      <c r="BO147" s="141">
        <f t="shared" si="121"/>
        <v>131.8210265642467</v>
      </c>
      <c r="BP147" s="141">
        <f t="shared" si="121"/>
        <v>131.8210265642467</v>
      </c>
      <c r="BQ147" s="141">
        <f t="shared" si="121"/>
        <v>131.82102656424667</v>
      </c>
      <c r="BR147" s="141">
        <f t="shared" si="121"/>
        <v>131.82102656424667</v>
      </c>
      <c r="BS147" s="141">
        <f t="shared" si="121"/>
        <v>131.8210265642467</v>
      </c>
      <c r="BT147" s="141">
        <f t="shared" si="121"/>
        <v>131.82102656424667</v>
      </c>
      <c r="BU147" s="141">
        <f>+BU23+BI46+AW68+AK90+Y112+M134</f>
        <v>131.82102656424667</v>
      </c>
      <c r="BV147" s="141">
        <f t="shared" si="121"/>
        <v>131.8210265642467</v>
      </c>
      <c r="BW147" s="141">
        <f>+BW23+BK46+AY68+AM90+AA112+O134</f>
        <v>131.82102656424667</v>
      </c>
      <c r="BX147" s="141"/>
      <c r="BY147" s="141"/>
      <c r="BZ147" s="141"/>
      <c r="CA147" s="141"/>
      <c r="CB147" s="141"/>
      <c r="CC147" s="141"/>
      <c r="CD147" s="141"/>
      <c r="CE147" s="141"/>
      <c r="CF147" s="141"/>
      <c r="CG147" s="141"/>
      <c r="CH147" s="141"/>
      <c r="CI147" s="142"/>
      <c r="GC147" s="81"/>
      <c r="GD147" s="81"/>
    </row>
    <row r="148" spans="2:186" ht="34.95" customHeight="1" thickBot="1">
      <c r="B148" s="140" t="s">
        <v>148</v>
      </c>
      <c r="C148" s="141">
        <f aca="true" t="shared" si="122" ref="C148:N149">+C24</f>
        <v>0</v>
      </c>
      <c r="D148" s="141">
        <f t="shared" si="122"/>
        <v>0</v>
      </c>
      <c r="E148" s="141">
        <f t="shared" si="122"/>
        <v>0</v>
      </c>
      <c r="F148" s="141">
        <f t="shared" si="122"/>
        <v>0</v>
      </c>
      <c r="G148" s="141">
        <f t="shared" si="122"/>
        <v>0</v>
      </c>
      <c r="H148" s="141">
        <f t="shared" si="122"/>
        <v>0</v>
      </c>
      <c r="I148" s="141">
        <f t="shared" si="122"/>
        <v>0</v>
      </c>
      <c r="J148" s="141">
        <f t="shared" si="122"/>
        <v>0</v>
      </c>
      <c r="K148" s="141">
        <f t="shared" si="122"/>
        <v>0</v>
      </c>
      <c r="L148" s="141">
        <f t="shared" si="122"/>
        <v>0</v>
      </c>
      <c r="M148" s="141">
        <f t="shared" si="122"/>
        <v>0</v>
      </c>
      <c r="N148" s="141">
        <f t="shared" si="122"/>
        <v>0</v>
      </c>
      <c r="O148" s="141">
        <f t="shared" si="117"/>
        <v>0</v>
      </c>
      <c r="P148" s="141">
        <f t="shared" si="117"/>
        <v>0</v>
      </c>
      <c r="Q148" s="141">
        <f t="shared" si="117"/>
        <v>0</v>
      </c>
      <c r="R148" s="141">
        <f t="shared" si="117"/>
        <v>0</v>
      </c>
      <c r="S148" s="141">
        <f t="shared" si="117"/>
        <v>0</v>
      </c>
      <c r="T148" s="141">
        <f t="shared" si="117"/>
        <v>0</v>
      </c>
      <c r="U148" s="141">
        <f t="shared" si="117"/>
        <v>0</v>
      </c>
      <c r="V148" s="141">
        <f t="shared" si="117"/>
        <v>0</v>
      </c>
      <c r="W148" s="141">
        <f t="shared" si="117"/>
        <v>0</v>
      </c>
      <c r="X148" s="141">
        <f t="shared" si="117"/>
        <v>0</v>
      </c>
      <c r="Y148" s="141">
        <f t="shared" si="117"/>
        <v>0</v>
      </c>
      <c r="Z148" s="141">
        <f t="shared" si="117"/>
        <v>0</v>
      </c>
      <c r="AA148" s="141">
        <f t="shared" si="118"/>
        <v>0</v>
      </c>
      <c r="AB148" s="141">
        <f t="shared" si="118"/>
        <v>0</v>
      </c>
      <c r="AC148" s="141">
        <f t="shared" si="118"/>
        <v>0</v>
      </c>
      <c r="AD148" s="141">
        <f t="shared" si="118"/>
        <v>0</v>
      </c>
      <c r="AE148" s="141">
        <f t="shared" si="118"/>
        <v>0</v>
      </c>
      <c r="AF148" s="141">
        <f t="shared" si="118"/>
        <v>0</v>
      </c>
      <c r="AG148" s="141">
        <f t="shared" si="118"/>
        <v>0</v>
      </c>
      <c r="AH148" s="141">
        <f t="shared" si="118"/>
        <v>0</v>
      </c>
      <c r="AI148" s="141">
        <f t="shared" si="118"/>
        <v>0</v>
      </c>
      <c r="AJ148" s="141">
        <f t="shared" si="118"/>
        <v>0</v>
      </c>
      <c r="AK148" s="141">
        <f t="shared" si="118"/>
        <v>0</v>
      </c>
      <c r="AL148" s="141">
        <f t="shared" si="118"/>
        <v>0</v>
      </c>
      <c r="AM148" s="141">
        <f t="shared" si="119"/>
        <v>0</v>
      </c>
      <c r="AN148" s="141">
        <f t="shared" si="119"/>
        <v>0</v>
      </c>
      <c r="AO148" s="141">
        <f t="shared" si="119"/>
        <v>0</v>
      </c>
      <c r="AP148" s="141">
        <f t="shared" si="119"/>
        <v>0</v>
      </c>
      <c r="AQ148" s="141">
        <f t="shared" si="119"/>
        <v>0</v>
      </c>
      <c r="AR148" s="141">
        <f t="shared" si="119"/>
        <v>126.65435989758001</v>
      </c>
      <c r="AS148" s="141">
        <f t="shared" si="119"/>
        <v>126.75990519749465</v>
      </c>
      <c r="AT148" s="141">
        <f t="shared" si="119"/>
        <v>126.86553845182591</v>
      </c>
      <c r="AU148" s="141">
        <f t="shared" si="119"/>
        <v>126.97125973386909</v>
      </c>
      <c r="AV148" s="141">
        <f t="shared" si="119"/>
        <v>127.07706911698065</v>
      </c>
      <c r="AW148" s="141">
        <f t="shared" si="119"/>
        <v>127.18296667457814</v>
      </c>
      <c r="AX148" s="141">
        <f t="shared" si="119"/>
        <v>127.2889524801403</v>
      </c>
      <c r="AY148" s="141">
        <f t="shared" si="120"/>
        <v>127.39502660720707</v>
      </c>
      <c r="AZ148" s="141">
        <f t="shared" si="120"/>
        <v>127.50118912937974</v>
      </c>
      <c r="BA148" s="141">
        <f t="shared" si="120"/>
        <v>127.60744012032089</v>
      </c>
      <c r="BB148" s="141">
        <f t="shared" si="120"/>
        <v>127.71377965375447</v>
      </c>
      <c r="BC148" s="141">
        <f t="shared" si="120"/>
        <v>127.82020780346595</v>
      </c>
      <c r="BD148" s="141">
        <f t="shared" si="120"/>
        <v>127.92672464330215</v>
      </c>
      <c r="BE148" s="141">
        <f t="shared" si="120"/>
        <v>128.0333302471716</v>
      </c>
      <c r="BF148" s="141">
        <f t="shared" si="120"/>
        <v>128.14002468904422</v>
      </c>
      <c r="BG148" s="141">
        <f t="shared" si="120"/>
        <v>128.24680804295176</v>
      </c>
      <c r="BH148" s="141">
        <f t="shared" si="120"/>
        <v>128.35368038298756</v>
      </c>
      <c r="BI148" s="141">
        <f t="shared" si="120"/>
        <v>128.46064178330673</v>
      </c>
      <c r="BJ148" s="141">
        <f t="shared" si="120"/>
        <v>128.56769231812615</v>
      </c>
      <c r="BK148" s="141">
        <f aca="true" t="shared" si="123" ref="BK148:BK149">+BK24+AY47+AM69+AA91+O113+C135</f>
        <v>128.67483206172457</v>
      </c>
      <c r="BL148" s="141">
        <f t="shared" si="121"/>
        <v>128.78206108844267</v>
      </c>
      <c r="BM148" s="141">
        <f t="shared" si="121"/>
        <v>128.88937947268306</v>
      </c>
      <c r="BN148" s="141">
        <f t="shared" si="121"/>
        <v>128.99678728891027</v>
      </c>
      <c r="BO148" s="141">
        <f t="shared" si="121"/>
        <v>129.10428461165105</v>
      </c>
      <c r="BP148" s="141">
        <f t="shared" si="121"/>
        <v>129.2118715154941</v>
      </c>
      <c r="BQ148" s="141">
        <f t="shared" si="121"/>
        <v>129.31954807509032</v>
      </c>
      <c r="BR148" s="141">
        <f t="shared" si="121"/>
        <v>129.4273143651529</v>
      </c>
      <c r="BS148" s="141">
        <f t="shared" si="121"/>
        <v>129.5351704604572</v>
      </c>
      <c r="BT148" s="141">
        <f t="shared" si="121"/>
        <v>129.6431164358409</v>
      </c>
      <c r="BU148" s="141">
        <f t="shared" si="121"/>
        <v>129.7511523662041</v>
      </c>
      <c r="BV148" s="141">
        <f t="shared" si="121"/>
        <v>129.8592783265093</v>
      </c>
      <c r="BW148" s="141">
        <f t="shared" si="121"/>
        <v>129.96749439178137</v>
      </c>
      <c r="BX148" s="141"/>
      <c r="BY148" s="141"/>
      <c r="BZ148" s="141"/>
      <c r="CA148" s="141"/>
      <c r="CB148" s="141"/>
      <c r="CC148" s="141"/>
      <c r="CD148" s="141"/>
      <c r="CE148" s="141"/>
      <c r="CF148" s="141"/>
      <c r="CG148" s="141"/>
      <c r="CH148" s="141"/>
      <c r="CI148" s="142"/>
      <c r="GC148" s="81"/>
      <c r="GD148" s="81"/>
    </row>
    <row r="149" spans="2:186" ht="34.95" customHeight="1" thickBot="1">
      <c r="B149" s="140" t="s">
        <v>149</v>
      </c>
      <c r="C149" s="141">
        <f>+C25</f>
        <v>0</v>
      </c>
      <c r="D149" s="141">
        <f t="shared" si="122"/>
        <v>0</v>
      </c>
      <c r="E149" s="141">
        <f t="shared" si="122"/>
        <v>0</v>
      </c>
      <c r="F149" s="141">
        <f t="shared" si="122"/>
        <v>0</v>
      </c>
      <c r="G149" s="141">
        <f t="shared" si="122"/>
        <v>0</v>
      </c>
      <c r="H149" s="141">
        <f t="shared" si="122"/>
        <v>0</v>
      </c>
      <c r="I149" s="141">
        <f t="shared" si="122"/>
        <v>0</v>
      </c>
      <c r="J149" s="141">
        <f t="shared" si="122"/>
        <v>0</v>
      </c>
      <c r="K149" s="141">
        <f t="shared" si="122"/>
        <v>0</v>
      </c>
      <c r="L149" s="141">
        <f t="shared" si="122"/>
        <v>0</v>
      </c>
      <c r="M149" s="141">
        <f t="shared" si="122"/>
        <v>0</v>
      </c>
      <c r="N149" s="141">
        <f t="shared" si="122"/>
        <v>0</v>
      </c>
      <c r="O149" s="141">
        <f t="shared" si="117"/>
        <v>0</v>
      </c>
      <c r="P149" s="141">
        <f t="shared" si="117"/>
        <v>0</v>
      </c>
      <c r="Q149" s="141">
        <f t="shared" si="117"/>
        <v>0</v>
      </c>
      <c r="R149" s="141">
        <f t="shared" si="117"/>
        <v>0</v>
      </c>
      <c r="S149" s="141">
        <f t="shared" si="117"/>
        <v>0</v>
      </c>
      <c r="T149" s="141">
        <f t="shared" si="117"/>
        <v>5.166666666666667</v>
      </c>
      <c r="U149" s="141">
        <f t="shared" si="117"/>
        <v>5.166666666666667</v>
      </c>
      <c r="V149" s="141">
        <f t="shared" si="117"/>
        <v>5.166666666666667</v>
      </c>
      <c r="W149" s="141">
        <f t="shared" si="117"/>
        <v>5.166666666666667</v>
      </c>
      <c r="X149" s="141">
        <f t="shared" si="117"/>
        <v>5.166666666666667</v>
      </c>
      <c r="Y149" s="141">
        <f t="shared" si="117"/>
        <v>5.166666666666667</v>
      </c>
      <c r="Z149" s="141">
        <f t="shared" si="117"/>
        <v>5.166666666666667</v>
      </c>
      <c r="AA149" s="141">
        <f t="shared" si="118"/>
        <v>5.166666666666667</v>
      </c>
      <c r="AB149" s="141">
        <f t="shared" si="118"/>
        <v>5.166666666666667</v>
      </c>
      <c r="AC149" s="141">
        <f t="shared" si="118"/>
        <v>5.166666666666667</v>
      </c>
      <c r="AD149" s="141">
        <f t="shared" si="118"/>
        <v>5.166666666666667</v>
      </c>
      <c r="AE149" s="141">
        <f t="shared" si="118"/>
        <v>5.166666666666667</v>
      </c>
      <c r="AF149" s="141">
        <f t="shared" si="118"/>
        <v>5.166666666666667</v>
      </c>
      <c r="AG149" s="141">
        <f t="shared" si="118"/>
        <v>5.166666666666667</v>
      </c>
      <c r="AH149" s="141">
        <f t="shared" si="118"/>
        <v>5.166666666666667</v>
      </c>
      <c r="AI149" s="141">
        <f t="shared" si="118"/>
        <v>5.166666666666667</v>
      </c>
      <c r="AJ149" s="141">
        <f t="shared" si="118"/>
        <v>5.166666666666667</v>
      </c>
      <c r="AK149" s="141">
        <f t="shared" si="118"/>
        <v>5.166666666666667</v>
      </c>
      <c r="AL149" s="141">
        <f t="shared" si="118"/>
        <v>5.166666666666667</v>
      </c>
      <c r="AM149" s="141">
        <f t="shared" si="119"/>
        <v>5.166666666666667</v>
      </c>
      <c r="AN149" s="141">
        <f t="shared" si="119"/>
        <v>5.166666666666667</v>
      </c>
      <c r="AO149" s="141">
        <f t="shared" si="119"/>
        <v>5.166666666666667</v>
      </c>
      <c r="AP149" s="141">
        <f t="shared" si="119"/>
        <v>5.166666666666667</v>
      </c>
      <c r="AQ149" s="141">
        <f t="shared" si="119"/>
        <v>5.166666666666667</v>
      </c>
      <c r="AR149" s="141">
        <f t="shared" si="119"/>
        <v>5.166666666666667</v>
      </c>
      <c r="AS149" s="141">
        <f t="shared" si="119"/>
        <v>5.061121366752016</v>
      </c>
      <c r="AT149" s="141">
        <f t="shared" si="119"/>
        <v>4.955488112420771</v>
      </c>
      <c r="AU149" s="141">
        <f t="shared" si="119"/>
        <v>4.8497668303775825</v>
      </c>
      <c r="AV149" s="141">
        <f t="shared" si="119"/>
        <v>4.743957447266025</v>
      </c>
      <c r="AW149" s="141">
        <f t="shared" si="119"/>
        <v>4.6380598896685425</v>
      </c>
      <c r="AX149" s="141">
        <f t="shared" si="119"/>
        <v>4.532074084106394</v>
      </c>
      <c r="AY149" s="141">
        <f t="shared" si="120"/>
        <v>4.425999957039609</v>
      </c>
      <c r="AZ149" s="141">
        <f t="shared" si="120"/>
        <v>4.319837434866937</v>
      </c>
      <c r="BA149" s="141">
        <f t="shared" si="120"/>
        <v>4.213586443925787</v>
      </c>
      <c r="BB149" s="141">
        <f t="shared" si="120"/>
        <v>4.107246910492186</v>
      </c>
      <c r="BC149" s="141">
        <f t="shared" si="120"/>
        <v>4.000818760780724</v>
      </c>
      <c r="BD149" s="141">
        <f t="shared" si="120"/>
        <v>3.8943019209445033</v>
      </c>
      <c r="BE149" s="141">
        <f t="shared" si="120"/>
        <v>3.787696317075085</v>
      </c>
      <c r="BF149" s="141">
        <f t="shared" si="120"/>
        <v>3.681001875202442</v>
      </c>
      <c r="BG149" s="141">
        <f t="shared" si="120"/>
        <v>3.5742185212949056</v>
      </c>
      <c r="BH149" s="141">
        <f t="shared" si="120"/>
        <v>3.4673461812591118</v>
      </c>
      <c r="BI149" s="141">
        <f t="shared" si="120"/>
        <v>3.360384780939955</v>
      </c>
      <c r="BJ149" s="141">
        <f t="shared" si="120"/>
        <v>3.253334246120533</v>
      </c>
      <c r="BK149" s="141">
        <f t="shared" si="123"/>
        <v>3.1461945025220945</v>
      </c>
      <c r="BL149" s="141">
        <f t="shared" si="121"/>
        <v>3.03896547580399</v>
      </c>
      <c r="BM149" s="141">
        <f t="shared" si="121"/>
        <v>2.931647091563622</v>
      </c>
      <c r="BN149" s="141">
        <f t="shared" si="121"/>
        <v>2.824239275336386</v>
      </c>
      <c r="BO149" s="141">
        <f t="shared" si="121"/>
        <v>2.7167419525956276</v>
      </c>
      <c r="BP149" s="141">
        <f t="shared" si="121"/>
        <v>2.609155048752585</v>
      </c>
      <c r="BQ149" s="141">
        <f t="shared" si="121"/>
        <v>2.50147848915634</v>
      </c>
      <c r="BR149" s="141">
        <f t="shared" si="121"/>
        <v>2.3937121990937644</v>
      </c>
      <c r="BS149" s="141">
        <f t="shared" si="121"/>
        <v>2.2858561037894707</v>
      </c>
      <c r="BT149" s="141">
        <f t="shared" si="121"/>
        <v>2.177910128405756</v>
      </c>
      <c r="BU149" s="141">
        <f t="shared" si="121"/>
        <v>2.0698741980425552</v>
      </c>
      <c r="BV149" s="141">
        <f t="shared" si="121"/>
        <v>1.9617482377373856</v>
      </c>
      <c r="BW149" s="141">
        <f t="shared" si="121"/>
        <v>1.8535321724652944</v>
      </c>
      <c r="BX149" s="141"/>
      <c r="BY149" s="141"/>
      <c r="BZ149" s="141"/>
      <c r="CA149" s="141"/>
      <c r="CB149" s="141"/>
      <c r="CC149" s="141"/>
      <c r="CD149" s="141"/>
      <c r="CE149" s="141"/>
      <c r="CF149" s="141"/>
      <c r="CG149" s="141"/>
      <c r="CH149" s="141"/>
      <c r="CI149" s="142"/>
      <c r="GC149" s="81"/>
      <c r="GD149" s="81"/>
    </row>
    <row r="150" spans="2:186" ht="34.95" customHeight="1" thickBot="1">
      <c r="B150" s="144" t="s">
        <v>152</v>
      </c>
      <c r="C150" s="141">
        <v>0</v>
      </c>
      <c r="D150" s="141">
        <f>+C150-D148</f>
        <v>0</v>
      </c>
      <c r="E150" s="141">
        <f>+D150-E148</f>
        <v>0</v>
      </c>
      <c r="F150" s="141">
        <f aca="true" t="shared" si="124" ref="F150:M150">+E150-F148</f>
        <v>0</v>
      </c>
      <c r="G150" s="141">
        <f t="shared" si="124"/>
        <v>0</v>
      </c>
      <c r="H150" s="141">
        <f t="shared" si="124"/>
        <v>0</v>
      </c>
      <c r="I150" s="141">
        <f t="shared" si="124"/>
        <v>0</v>
      </c>
      <c r="J150" s="141">
        <f t="shared" si="124"/>
        <v>0</v>
      </c>
      <c r="K150" s="141">
        <f>+J150-K148</f>
        <v>0</v>
      </c>
      <c r="L150" s="141">
        <f t="shared" si="124"/>
        <v>0</v>
      </c>
      <c r="M150" s="141">
        <f t="shared" si="124"/>
        <v>0</v>
      </c>
      <c r="N150" s="141">
        <f>+M150-N148</f>
        <v>0</v>
      </c>
      <c r="O150" s="141">
        <f>+C150-O148+C31</f>
        <v>0</v>
      </c>
      <c r="P150" s="141">
        <f>+O150-P148</f>
        <v>0</v>
      </c>
      <c r="Q150" s="141">
        <f aca="true" t="shared" si="125" ref="Q150:Z150">+P150-Q148</f>
        <v>0</v>
      </c>
      <c r="R150" s="141">
        <f t="shared" si="125"/>
        <v>0</v>
      </c>
      <c r="S150" s="141">
        <f>+R150-S148</f>
        <v>0</v>
      </c>
      <c r="T150" s="141">
        <f>+C8</f>
        <v>6200</v>
      </c>
      <c r="U150" s="141">
        <f t="shared" si="125"/>
        <v>6200</v>
      </c>
      <c r="V150" s="141">
        <f>+U150-V148</f>
        <v>6200</v>
      </c>
      <c r="W150" s="141">
        <f t="shared" si="125"/>
        <v>6200</v>
      </c>
      <c r="X150" s="141">
        <f t="shared" si="125"/>
        <v>6200</v>
      </c>
      <c r="Y150" s="141">
        <f t="shared" si="125"/>
        <v>6200</v>
      </c>
      <c r="Z150" s="141">
        <f t="shared" si="125"/>
        <v>6200</v>
      </c>
      <c r="AA150" s="141">
        <f>+Z150-AA148+C53</f>
        <v>6200</v>
      </c>
      <c r="AB150" s="141">
        <f>+AA150-AB148</f>
        <v>6200</v>
      </c>
      <c r="AC150" s="141">
        <f>+AB150-AC148</f>
        <v>6200</v>
      </c>
      <c r="AD150" s="141">
        <f>+AC150-AD148</f>
        <v>6200</v>
      </c>
      <c r="AE150" s="141">
        <f>+AD150-AE148</f>
        <v>6200</v>
      </c>
      <c r="AF150" s="141">
        <f>+AE150-AF148</f>
        <v>6200</v>
      </c>
      <c r="AG150" s="141">
        <f aca="true" t="shared" si="126" ref="AG150:BW150">+AF150-AG148</f>
        <v>6200</v>
      </c>
      <c r="AH150" s="141">
        <f t="shared" si="126"/>
        <v>6200</v>
      </c>
      <c r="AI150" s="141">
        <f t="shared" si="126"/>
        <v>6200</v>
      </c>
      <c r="AJ150" s="141">
        <f t="shared" si="126"/>
        <v>6200</v>
      </c>
      <c r="AK150" s="141">
        <f t="shared" si="126"/>
        <v>6200</v>
      </c>
      <c r="AL150" s="141">
        <f t="shared" si="126"/>
        <v>6200</v>
      </c>
      <c r="AM150" s="141">
        <f t="shared" si="126"/>
        <v>6200</v>
      </c>
      <c r="AN150" s="141">
        <f t="shared" si="126"/>
        <v>6200</v>
      </c>
      <c r="AO150" s="141">
        <f t="shared" si="126"/>
        <v>6200</v>
      </c>
      <c r="AP150" s="141">
        <f t="shared" si="126"/>
        <v>6200</v>
      </c>
      <c r="AQ150" s="141">
        <f t="shared" si="126"/>
        <v>6200</v>
      </c>
      <c r="AR150" s="141">
        <f t="shared" si="126"/>
        <v>6073.34564010242</v>
      </c>
      <c r="AS150" s="141">
        <f t="shared" si="126"/>
        <v>5946.585734904925</v>
      </c>
      <c r="AT150" s="141">
        <f t="shared" si="126"/>
        <v>5819.720196453099</v>
      </c>
      <c r="AU150" s="141">
        <f t="shared" si="126"/>
        <v>5692.748936719229</v>
      </c>
      <c r="AV150" s="141">
        <f t="shared" si="126"/>
        <v>5565.671867602248</v>
      </c>
      <c r="AW150" s="141">
        <f t="shared" si="126"/>
        <v>5438.48890092767</v>
      </c>
      <c r="AX150" s="141">
        <f t="shared" si="126"/>
        <v>5311.19994844753</v>
      </c>
      <c r="AY150" s="1016">
        <f t="shared" si="126"/>
        <v>5183.804921840323</v>
      </c>
      <c r="AZ150" s="141">
        <f t="shared" si="126"/>
        <v>5056.303732710943</v>
      </c>
      <c r="BA150" s="141">
        <f t="shared" si="126"/>
        <v>4928.696292590623</v>
      </c>
      <c r="BB150" s="141">
        <f t="shared" si="126"/>
        <v>4800.982512936868</v>
      </c>
      <c r="BC150" s="141">
        <f t="shared" si="126"/>
        <v>4673.162305133403</v>
      </c>
      <c r="BD150" s="141">
        <f t="shared" si="126"/>
        <v>4545.235580490101</v>
      </c>
      <c r="BE150" s="141">
        <f t="shared" si="126"/>
        <v>4417.202250242929</v>
      </c>
      <c r="BF150" s="141">
        <f t="shared" si="126"/>
        <v>4289.062225553885</v>
      </c>
      <c r="BG150" s="141">
        <f t="shared" si="126"/>
        <v>4160.815417510933</v>
      </c>
      <c r="BH150" s="141">
        <f t="shared" si="126"/>
        <v>4032.4617371279455</v>
      </c>
      <c r="BI150" s="141">
        <f t="shared" si="126"/>
        <v>3904.001095344639</v>
      </c>
      <c r="BJ150" s="141">
        <f t="shared" si="126"/>
        <v>3775.4334030265127</v>
      </c>
      <c r="BK150" s="141">
        <f t="shared" si="126"/>
        <v>3646.7585709647883</v>
      </c>
      <c r="BL150" s="141">
        <f t="shared" si="126"/>
        <v>3517.9765098763455</v>
      </c>
      <c r="BM150" s="141">
        <f t="shared" si="126"/>
        <v>3389.0871304036623</v>
      </c>
      <c r="BN150" s="141">
        <f t="shared" si="126"/>
        <v>3260.090343114752</v>
      </c>
      <c r="BO150" s="141">
        <f t="shared" si="126"/>
        <v>3130.986058503101</v>
      </c>
      <c r="BP150" s="141">
        <f t="shared" si="126"/>
        <v>3001.7741869876068</v>
      </c>
      <c r="BQ150" s="141">
        <f t="shared" si="126"/>
        <v>2872.454638912516</v>
      </c>
      <c r="BR150" s="141">
        <f t="shared" si="126"/>
        <v>2743.027324547363</v>
      </c>
      <c r="BS150" s="141">
        <f t="shared" si="126"/>
        <v>2613.492154086906</v>
      </c>
      <c r="BT150" s="141">
        <f t="shared" si="126"/>
        <v>2483.849037651065</v>
      </c>
      <c r="BU150" s="141">
        <f t="shared" si="126"/>
        <v>2354.0978852848607</v>
      </c>
      <c r="BV150" s="141">
        <f t="shared" si="126"/>
        <v>2224.2386069583513</v>
      </c>
      <c r="BW150" s="141">
        <f t="shared" si="126"/>
        <v>2094.27111256657</v>
      </c>
      <c r="BX150" s="141"/>
      <c r="BY150" s="141"/>
      <c r="BZ150" s="141"/>
      <c r="CA150" s="141"/>
      <c r="CB150" s="141"/>
      <c r="CC150" s="141"/>
      <c r="CD150" s="141"/>
      <c r="CE150" s="141"/>
      <c r="CF150" s="141"/>
      <c r="CG150" s="141"/>
      <c r="CH150" s="141"/>
      <c r="CI150" s="142"/>
      <c r="GC150" s="81"/>
      <c r="GD150" s="81"/>
    </row>
    <row r="151" spans="4:14" ht="15.75">
      <c r="D151" s="378"/>
      <c r="E151" s="378"/>
      <c r="F151" s="378"/>
      <c r="G151" s="378"/>
      <c r="H151" s="378"/>
      <c r="I151" s="378"/>
      <c r="J151" s="378"/>
      <c r="K151" s="378"/>
      <c r="L151" s="378"/>
      <c r="M151" s="378"/>
      <c r="N151" s="378"/>
    </row>
  </sheetData>
  <sheetProtection algorithmName="SHA-512" hashValue="J4KA3Y6RYZBBZ92iNVU5mEFQyWKzWgLULwWwrDJPe+9cN8RIqVHVf+Q1I8KMV57zsh42WGCZUhNrUuF+LJFCoQ==" saltValue="BHNhAc/px7tAAxkJk2cjDQ==" spinCount="100000" sheet="1" objects="1" scenarios="1"/>
  <mergeCells count="6">
    <mergeCell ref="B117:C118"/>
    <mergeCell ref="B6:C7"/>
    <mergeCell ref="B29:C30"/>
    <mergeCell ref="B51:C52"/>
    <mergeCell ref="B73:C74"/>
    <mergeCell ref="B95:C96"/>
  </mergeCells>
  <printOptions/>
  <pageMargins left="0" right="0" top="0" bottom="0" header="0" footer="0"/>
  <pageSetup orientation="portrait" paperSize="9"/>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M190"/>
  <sheetViews>
    <sheetView zoomScale="63" zoomScaleNormal="63" zoomScalePageLayoutView="56" workbookViewId="0" topLeftCell="A1">
      <pane xSplit="2" topLeftCell="C1" activePane="topRight" state="frozen"/>
      <selection pane="topRight" activeCell="C11" sqref="C11:C13"/>
    </sheetView>
  </sheetViews>
  <sheetFormatPr defaultColWidth="10.75390625" defaultRowHeight="15.75"/>
  <cols>
    <col min="1" max="1" width="10.75390625" style="2" customWidth="1"/>
    <col min="2" max="2" width="48.25390625" style="2" bestFit="1" customWidth="1"/>
    <col min="3" max="8" width="13.75390625" style="2" customWidth="1"/>
    <col min="9" max="65" width="13.50390625" style="2" customWidth="1"/>
    <col min="66" max="16384" width="10.75390625" style="2" customWidth="1"/>
  </cols>
  <sheetData>
    <row r="1" ht="16.2" thickBot="1"/>
    <row r="2" spans="2:7" s="101" customFormat="1" ht="19.05" customHeight="1" thickBot="1">
      <c r="B2" s="487" t="s">
        <v>181</v>
      </c>
      <c r="C2" s="477" t="s">
        <v>227</v>
      </c>
      <c r="D2" s="322" t="s">
        <v>31</v>
      </c>
      <c r="F2" s="214"/>
      <c r="G2" s="401"/>
    </row>
    <row r="3" spans="2:9" ht="15.75">
      <c r="B3" s="488" t="s">
        <v>180</v>
      </c>
      <c r="C3" s="484">
        <v>0</v>
      </c>
      <c r="D3" s="484">
        <v>13.5</v>
      </c>
      <c r="E3" s="216"/>
      <c r="F3" s="397"/>
      <c r="H3" s="252"/>
      <c r="I3" s="252"/>
    </row>
    <row r="4" spans="2:7" ht="15.75">
      <c r="B4" s="488" t="s">
        <v>161</v>
      </c>
      <c r="C4" s="485">
        <v>0.2282</v>
      </c>
      <c r="D4" s="337">
        <v>0.2989</v>
      </c>
      <c r="F4" s="331"/>
      <c r="G4" s="481"/>
    </row>
    <row r="5" spans="2:6" ht="16.2" thickBot="1">
      <c r="B5" s="234" t="s">
        <v>162</v>
      </c>
      <c r="C5" s="486">
        <f>+D5</f>
        <v>0.004</v>
      </c>
      <c r="D5" s="338">
        <v>0.004</v>
      </c>
      <c r="E5" s="253"/>
      <c r="F5" s="99"/>
    </row>
    <row r="6" spans="4:65" ht="15.75">
      <c r="D6" s="217"/>
      <c r="E6" s="218"/>
      <c r="F6" s="99"/>
      <c r="H6" s="254"/>
      <c r="Q6" s="91"/>
      <c r="R6" s="91"/>
      <c r="S6" s="91"/>
      <c r="T6" s="91"/>
      <c r="AC6" s="91"/>
      <c r="AD6" s="91"/>
      <c r="AE6" s="91"/>
      <c r="AF6" s="91"/>
      <c r="AO6" s="91"/>
      <c r="AP6" s="91"/>
      <c r="AQ6" s="91"/>
      <c r="AR6" s="91"/>
      <c r="BA6" s="91"/>
      <c r="BB6" s="91"/>
      <c r="BC6" s="91"/>
      <c r="BD6" s="91"/>
      <c r="BM6" s="91"/>
    </row>
    <row r="7" spans="4:65" ht="16.2" thickBot="1">
      <c r="D7" s="217"/>
      <c r="E7" s="480"/>
      <c r="H7" s="254"/>
      <c r="Q7" s="91"/>
      <c r="R7" s="91"/>
      <c r="S7" s="91"/>
      <c r="T7" s="91"/>
      <c r="AC7" s="91"/>
      <c r="AD7" s="91"/>
      <c r="AE7" s="91"/>
      <c r="AF7" s="91"/>
      <c r="AO7" s="91"/>
      <c r="AP7" s="91"/>
      <c r="AQ7" s="91"/>
      <c r="AR7" s="91"/>
      <c r="BA7" s="91"/>
      <c r="BB7" s="91"/>
      <c r="BC7" s="91"/>
      <c r="BD7" s="91"/>
      <c r="BM7" s="91"/>
    </row>
    <row r="8" spans="2:65" ht="16.2" thickBot="1">
      <c r="B8" s="389"/>
      <c r="C8" s="1629">
        <f>1+Assumptions!C3</f>
        <v>2020</v>
      </c>
      <c r="D8" s="1630"/>
      <c r="E8" s="1630"/>
      <c r="F8" s="1630"/>
      <c r="G8" s="1631"/>
      <c r="H8" s="1629">
        <f>1+C8</f>
        <v>2021</v>
      </c>
      <c r="I8" s="1630"/>
      <c r="J8" s="1630"/>
      <c r="K8" s="1630"/>
      <c r="L8" s="1631"/>
      <c r="M8" s="1629">
        <f>1+H8</f>
        <v>2022</v>
      </c>
      <c r="N8" s="1630"/>
      <c r="O8" s="1630"/>
      <c r="P8" s="1630"/>
      <c r="Q8" s="1631"/>
      <c r="R8" s="1629">
        <f>1+M8</f>
        <v>2023</v>
      </c>
      <c r="S8" s="1630"/>
      <c r="T8" s="1630"/>
      <c r="U8" s="1630"/>
      <c r="V8" s="1631"/>
      <c r="W8" s="1629">
        <f>1+R8</f>
        <v>2024</v>
      </c>
      <c r="X8" s="1630"/>
      <c r="Y8" s="1630"/>
      <c r="Z8" s="1630"/>
      <c r="AA8" s="1631"/>
      <c r="AC8" s="91"/>
      <c r="AD8" s="91"/>
      <c r="AE8" s="91"/>
      <c r="AF8" s="91"/>
      <c r="AO8" s="91"/>
      <c r="AP8" s="91"/>
      <c r="AQ8" s="91"/>
      <c r="AR8" s="91"/>
      <c r="BA8" s="91"/>
      <c r="BB8" s="91"/>
      <c r="BC8" s="91"/>
      <c r="BD8" s="91"/>
      <c r="BM8" s="91"/>
    </row>
    <row r="9" spans="2:63" ht="28.05" customHeight="1" thickBot="1">
      <c r="B9" s="385"/>
      <c r="C9" s="386" t="s">
        <v>182</v>
      </c>
      <c r="D9" s="358" t="s">
        <v>226</v>
      </c>
      <c r="E9" s="358" t="s">
        <v>164</v>
      </c>
      <c r="F9" s="387" t="s">
        <v>161</v>
      </c>
      <c r="G9" s="388" t="s">
        <v>165</v>
      </c>
      <c r="H9" s="278" t="s">
        <v>182</v>
      </c>
      <c r="I9" s="476" t="s">
        <v>226</v>
      </c>
      <c r="J9" s="282" t="s">
        <v>164</v>
      </c>
      <c r="K9" s="286" t="s">
        <v>161</v>
      </c>
      <c r="L9" s="277" t="s">
        <v>165</v>
      </c>
      <c r="M9" s="278" t="s">
        <v>182</v>
      </c>
      <c r="N9" s="476" t="s">
        <v>226</v>
      </c>
      <c r="O9" s="282" t="s">
        <v>164</v>
      </c>
      <c r="P9" s="286" t="s">
        <v>161</v>
      </c>
      <c r="Q9" s="277" t="s">
        <v>165</v>
      </c>
      <c r="R9" s="278" t="s">
        <v>182</v>
      </c>
      <c r="S9" s="476" t="s">
        <v>226</v>
      </c>
      <c r="T9" s="282" t="s">
        <v>164</v>
      </c>
      <c r="U9" s="286" t="s">
        <v>161</v>
      </c>
      <c r="V9" s="277" t="s">
        <v>165</v>
      </c>
      <c r="W9" s="278" t="s">
        <v>182</v>
      </c>
      <c r="X9" s="476" t="s">
        <v>226</v>
      </c>
      <c r="Y9" s="282" t="s">
        <v>164</v>
      </c>
      <c r="Z9" s="286" t="s">
        <v>161</v>
      </c>
      <c r="AA9" s="277" t="s">
        <v>165</v>
      </c>
      <c r="AI9" s="91"/>
      <c r="AJ9" s="91"/>
      <c r="AK9" s="91"/>
      <c r="AL9" s="91"/>
      <c r="AM9" s="91"/>
      <c r="AU9" s="91"/>
      <c r="AV9" s="91"/>
      <c r="AW9" s="91"/>
      <c r="AX9" s="91"/>
      <c r="AY9" s="91"/>
      <c r="BG9" s="91"/>
      <c r="BH9" s="91"/>
      <c r="BI9" s="91"/>
      <c r="BJ9" s="91"/>
      <c r="BK9" s="91"/>
    </row>
    <row r="10" spans="1:27" ht="22.05" customHeight="1">
      <c r="A10" s="481"/>
      <c r="B10" s="236"/>
      <c r="C10" s="279">
        <f aca="true" t="shared" si="0" ref="C10:AA10">SUM(C11:C32)</f>
        <v>56383.42680452675</v>
      </c>
      <c r="D10" s="283">
        <f t="shared" si="0"/>
        <v>42374.62579226958</v>
      </c>
      <c r="E10" s="283">
        <f t="shared" si="0"/>
        <v>2133.292181069959</v>
      </c>
      <c r="F10" s="283">
        <f t="shared" si="0"/>
        <v>11706.01032801814</v>
      </c>
      <c r="G10" s="256">
        <f t="shared" si="0"/>
        <v>169.4985031690783</v>
      </c>
      <c r="H10" s="279">
        <f t="shared" si="0"/>
        <v>203361.08148148144</v>
      </c>
      <c r="I10" s="283">
        <f t="shared" si="0"/>
        <v>150000</v>
      </c>
      <c r="J10" s="283">
        <f t="shared" si="0"/>
        <v>9481.48148148148</v>
      </c>
      <c r="K10" s="283">
        <f t="shared" si="0"/>
        <v>43279.59999999999</v>
      </c>
      <c r="L10" s="256">
        <f t="shared" si="0"/>
        <v>600</v>
      </c>
      <c r="M10" s="279">
        <f t="shared" si="0"/>
        <v>359901.8037037037</v>
      </c>
      <c r="N10" s="283">
        <f t="shared" si="0"/>
        <v>264000</v>
      </c>
      <c r="O10" s="283">
        <f t="shared" si="0"/>
        <v>17703.7037037037</v>
      </c>
      <c r="P10" s="283">
        <f t="shared" si="0"/>
        <v>77142.09999999999</v>
      </c>
      <c r="Q10" s="256">
        <f t="shared" si="0"/>
        <v>1056</v>
      </c>
      <c r="R10" s="279">
        <f t="shared" si="0"/>
        <v>368018.874074074</v>
      </c>
      <c r="S10" s="283">
        <f t="shared" si="0"/>
        <v>270000</v>
      </c>
      <c r="T10" s="283">
        <f t="shared" si="0"/>
        <v>18074.074074074073</v>
      </c>
      <c r="U10" s="283">
        <f t="shared" si="0"/>
        <v>78864.8</v>
      </c>
      <c r="V10" s="256">
        <f t="shared" si="0"/>
        <v>1080</v>
      </c>
      <c r="W10" s="279">
        <f t="shared" si="0"/>
        <v>436288.48148148146</v>
      </c>
      <c r="X10" s="283">
        <f t="shared" si="0"/>
        <v>320000</v>
      </c>
      <c r="Y10" s="283">
        <f t="shared" si="0"/>
        <v>21481.48148148148</v>
      </c>
      <c r="Z10" s="283">
        <f t="shared" si="0"/>
        <v>93527</v>
      </c>
      <c r="AA10" s="256">
        <f t="shared" si="0"/>
        <v>1280</v>
      </c>
    </row>
    <row r="11" spans="2:27" ht="16.95" customHeight="1">
      <c r="B11" s="235" t="str">
        <f>+'Income Statement'!B44</f>
        <v>CEO</v>
      </c>
      <c r="C11" s="280">
        <f>SUM(C39:N39)</f>
        <v>16727.338456790127</v>
      </c>
      <c r="D11" s="284">
        <f>+SUM(C68:N68)</f>
        <v>13575.181347825133</v>
      </c>
      <c r="E11" s="284">
        <v>0</v>
      </c>
      <c r="F11" s="284">
        <f>+D11*$C$4</f>
        <v>3097.8563835736954</v>
      </c>
      <c r="G11" s="257">
        <f>+D11*$C$5</f>
        <v>54.30072539130053</v>
      </c>
      <c r="H11" s="280">
        <f>SUM(O39:Z39)</f>
        <v>27108.399999999998</v>
      </c>
      <c r="I11" s="284">
        <f>+SUM(O68:Z68)</f>
        <v>21999.999999999996</v>
      </c>
      <c r="J11" s="284">
        <v>0</v>
      </c>
      <c r="K11" s="284">
        <f>+I11*$C$4</f>
        <v>5020.399999999999</v>
      </c>
      <c r="L11" s="257">
        <f>+I11*$C$5</f>
        <v>87.99999999999999</v>
      </c>
      <c r="M11" s="280">
        <f>SUM(AA39:AL39)</f>
        <v>30804.999999999996</v>
      </c>
      <c r="N11" s="284">
        <f>+SUM(AA68:AL68)</f>
        <v>24999.999999999996</v>
      </c>
      <c r="O11" s="284">
        <v>0</v>
      </c>
      <c r="P11" s="284">
        <f>+N11*$C$4</f>
        <v>5704.999999999999</v>
      </c>
      <c r="Q11" s="257">
        <f>+N11*$C$5</f>
        <v>99.99999999999999</v>
      </c>
      <c r="R11" s="280">
        <f>SUM(AM39:AX39)</f>
        <v>32037.199999999997</v>
      </c>
      <c r="S11" s="284">
        <f>+SUM(AM68:AX68)</f>
        <v>26000.000000000004</v>
      </c>
      <c r="T11" s="284">
        <v>0</v>
      </c>
      <c r="U11" s="284">
        <f>+S11*$C$4</f>
        <v>5933.200000000001</v>
      </c>
      <c r="V11" s="257">
        <f>+S11*$C$5</f>
        <v>104.00000000000001</v>
      </c>
      <c r="W11" s="280">
        <f>SUM(AY39:BJ39)</f>
        <v>36966</v>
      </c>
      <c r="X11" s="284">
        <f>+SUM(AY68:BJ68)</f>
        <v>30000</v>
      </c>
      <c r="Y11" s="284">
        <v>0</v>
      </c>
      <c r="Z11" s="284">
        <f>+X11*$C$4</f>
        <v>6846</v>
      </c>
      <c r="AA11" s="257">
        <f>+X11*$C$5</f>
        <v>120</v>
      </c>
    </row>
    <row r="12" spans="2:27" ht="16.95" customHeight="1">
      <c r="B12" s="235" t="str">
        <f>+'Income Statement'!B45</f>
        <v>COO</v>
      </c>
      <c r="C12" s="280">
        <f>SUM(C40:N40)</f>
        <v>16386.297475720163</v>
      </c>
      <c r="D12" s="284">
        <f>+SUM(C69:N69)</f>
        <v>11900.222222222223</v>
      </c>
      <c r="E12" s="284">
        <f>D12/$D$3</f>
        <v>881.4979423868313</v>
      </c>
      <c r="F12" s="284">
        <f>D12*$D$4</f>
        <v>3556.9764222222225</v>
      </c>
      <c r="G12" s="257">
        <f>D12*$D$5</f>
        <v>47.60088888888889</v>
      </c>
      <c r="H12" s="280">
        <f>SUM(O40:Z40)</f>
        <v>30293.429629629627</v>
      </c>
      <c r="I12" s="284">
        <f aca="true" t="shared" si="1" ref="I12:I32">+SUM(O69:Z69)</f>
        <v>21999.999999999996</v>
      </c>
      <c r="J12" s="284">
        <f>I12/$D$3</f>
        <v>1629.6296296296293</v>
      </c>
      <c r="K12" s="284">
        <f>I12*$D$4</f>
        <v>6575.799999999999</v>
      </c>
      <c r="L12" s="257">
        <f>I12*$D$5</f>
        <v>87.99999999999999</v>
      </c>
      <c r="M12" s="280">
        <f aca="true" t="shared" si="2" ref="M12:M32">SUM(AA40:AL40)</f>
        <v>34424.35185185186</v>
      </c>
      <c r="N12" s="284">
        <f aca="true" t="shared" si="3" ref="N12:N32">+SUM(AA69:AL69)</f>
        <v>24999.999999999996</v>
      </c>
      <c r="O12" s="284">
        <f>N12/$D$3</f>
        <v>1851.8518518518515</v>
      </c>
      <c r="P12" s="284">
        <f>N12*$D$4</f>
        <v>7472.499999999999</v>
      </c>
      <c r="Q12" s="257">
        <f>N12*$D$5</f>
        <v>99.99999999999999</v>
      </c>
      <c r="R12" s="280">
        <f>SUM(AM40:AX40)</f>
        <v>35801.32592592592</v>
      </c>
      <c r="S12" s="284">
        <f aca="true" t="shared" si="4" ref="S12:S32">+SUM(AM69:AX69)</f>
        <v>26000.000000000004</v>
      </c>
      <c r="T12" s="284">
        <f>S12/$D$3</f>
        <v>1925.925925925926</v>
      </c>
      <c r="U12" s="284">
        <f>S12*$D$4</f>
        <v>7771.4000000000015</v>
      </c>
      <c r="V12" s="257">
        <f>S12*$D$5</f>
        <v>104.00000000000001</v>
      </c>
      <c r="W12" s="280">
        <f aca="true" t="shared" si="5" ref="W12:W32">SUM(AY40:BJ40)</f>
        <v>41309.22222222222</v>
      </c>
      <c r="X12" s="284">
        <f aca="true" t="shared" si="6" ref="X12:X32">+SUM(AY69:BJ69)</f>
        <v>30000</v>
      </c>
      <c r="Y12" s="284">
        <f>X12/$D$3</f>
        <v>2222.222222222222</v>
      </c>
      <c r="Z12" s="284">
        <f>X12*$D$4</f>
        <v>8967</v>
      </c>
      <c r="AA12" s="257">
        <f>X12*$D$5</f>
        <v>120</v>
      </c>
    </row>
    <row r="13" spans="2:27" ht="16.95" customHeight="1">
      <c r="B13" s="235" t="str">
        <f>+'Income Statement'!B46</f>
        <v>CFO</v>
      </c>
      <c r="C13" s="280">
        <f>SUM(C41:N41)</f>
        <v>16384.92050164609</v>
      </c>
      <c r="D13" s="284">
        <f>+SUM(C70:N70)</f>
        <v>11899.222222222223</v>
      </c>
      <c r="E13" s="284">
        <f>D13/$D$3</f>
        <v>881.4238683127572</v>
      </c>
      <c r="F13" s="284">
        <f>D13*$D$4</f>
        <v>3556.6775222222223</v>
      </c>
      <c r="G13" s="257">
        <f aca="true" t="shared" si="7" ref="G13:G32">D13*$D$5</f>
        <v>47.59688888888889</v>
      </c>
      <c r="H13" s="280">
        <f aca="true" t="shared" si="8" ref="H13:H32">SUM(O41:Z41)</f>
        <v>30293.429629629627</v>
      </c>
      <c r="I13" s="284">
        <f t="shared" si="1"/>
        <v>21999.999999999996</v>
      </c>
      <c r="J13" s="284">
        <f>I13/$D$3</f>
        <v>1629.6296296296293</v>
      </c>
      <c r="K13" s="284">
        <f>I13*$D$4</f>
        <v>6575.799999999999</v>
      </c>
      <c r="L13" s="257">
        <f aca="true" t="shared" si="9" ref="L13:L32">I13*$D$5</f>
        <v>87.99999999999999</v>
      </c>
      <c r="M13" s="280">
        <f t="shared" si="2"/>
        <v>30293.429629629627</v>
      </c>
      <c r="N13" s="284">
        <f t="shared" si="3"/>
        <v>21999.999999999996</v>
      </c>
      <c r="O13" s="284">
        <f>N13/$D$3</f>
        <v>1629.6296296296293</v>
      </c>
      <c r="P13" s="284">
        <f>N13*$D$4</f>
        <v>6575.799999999999</v>
      </c>
      <c r="Q13" s="257">
        <f aca="true" t="shared" si="10" ref="Q13:Q32">N13*$D$5</f>
        <v>87.99999999999999</v>
      </c>
      <c r="R13" s="280">
        <f aca="true" t="shared" si="11" ref="R13:R32">SUM(AM41:AX41)</f>
        <v>33047.37777777778</v>
      </c>
      <c r="S13" s="284">
        <f t="shared" si="4"/>
        <v>24000</v>
      </c>
      <c r="T13" s="284">
        <f>S13/$D$3</f>
        <v>1777.7777777777778</v>
      </c>
      <c r="U13" s="284">
        <f>S13*$D$4</f>
        <v>7173.6</v>
      </c>
      <c r="V13" s="257">
        <f aca="true" t="shared" si="12" ref="V13:V32">S13*$D$5</f>
        <v>96</v>
      </c>
      <c r="W13" s="280">
        <f>SUM(AY41:BJ41)</f>
        <v>33047.37777777778</v>
      </c>
      <c r="X13" s="284">
        <f t="shared" si="6"/>
        <v>24000</v>
      </c>
      <c r="Y13" s="284">
        <f>X13/$D$3</f>
        <v>1777.7777777777778</v>
      </c>
      <c r="Z13" s="284">
        <f>X13*$D$4</f>
        <v>7173.6</v>
      </c>
      <c r="AA13" s="257">
        <f aca="true" t="shared" si="13" ref="AA13:AA32">X13*$D$5</f>
        <v>96</v>
      </c>
    </row>
    <row r="14" spans="2:27" ht="16.95" customHeight="1">
      <c r="B14" s="235" t="str">
        <f>+'Income Statement'!B47</f>
        <v>CTO</v>
      </c>
      <c r="C14" s="280">
        <f aca="true" t="shared" si="14" ref="C14:C32">SUM(C42:N42)</f>
        <v>0</v>
      </c>
      <c r="D14" s="284">
        <f aca="true" t="shared" si="15" ref="D14:D32">+SUM(C71:N71)</f>
        <v>0</v>
      </c>
      <c r="E14" s="284">
        <f aca="true" t="shared" si="16" ref="E14:E32">D14/$D$3</f>
        <v>0</v>
      </c>
      <c r="F14" s="284">
        <f aca="true" t="shared" si="17" ref="F14:F32">D14*$D$4</f>
        <v>0</v>
      </c>
      <c r="G14" s="257">
        <f t="shared" si="7"/>
        <v>0</v>
      </c>
      <c r="H14" s="280">
        <f t="shared" si="8"/>
        <v>0</v>
      </c>
      <c r="I14" s="284">
        <f t="shared" si="1"/>
        <v>0</v>
      </c>
      <c r="J14" s="284">
        <f aca="true" t="shared" si="18" ref="J14:J32">I14/$D$3</f>
        <v>0</v>
      </c>
      <c r="K14" s="284">
        <f aca="true" t="shared" si="19" ref="K14:K32">I14*$D$4</f>
        <v>0</v>
      </c>
      <c r="L14" s="257">
        <f t="shared" si="9"/>
        <v>0</v>
      </c>
      <c r="M14" s="280">
        <f t="shared" si="2"/>
        <v>30293.429629629627</v>
      </c>
      <c r="N14" s="284">
        <f t="shared" si="3"/>
        <v>21999.999999999996</v>
      </c>
      <c r="O14" s="284">
        <f aca="true" t="shared" si="20" ref="O14:O32">N14/$D$3</f>
        <v>1629.6296296296293</v>
      </c>
      <c r="P14" s="284">
        <f aca="true" t="shared" si="21" ref="P14:P32">N14*$D$4</f>
        <v>6575.799999999999</v>
      </c>
      <c r="Q14" s="257">
        <f t="shared" si="10"/>
        <v>87.99999999999999</v>
      </c>
      <c r="R14" s="280">
        <f t="shared" si="11"/>
        <v>33047.37777777778</v>
      </c>
      <c r="S14" s="284">
        <f t="shared" si="4"/>
        <v>24000</v>
      </c>
      <c r="T14" s="284">
        <f aca="true" t="shared" si="22" ref="T14:T32">S14/$D$3</f>
        <v>1777.7777777777778</v>
      </c>
      <c r="U14" s="284">
        <f aca="true" t="shared" si="23" ref="U14:U32">S14*$D$4</f>
        <v>7173.6</v>
      </c>
      <c r="V14" s="257">
        <f t="shared" si="12"/>
        <v>96</v>
      </c>
      <c r="W14" s="280">
        <f t="shared" si="5"/>
        <v>33047.37777777778</v>
      </c>
      <c r="X14" s="284">
        <f t="shared" si="6"/>
        <v>24000</v>
      </c>
      <c r="Y14" s="284">
        <f aca="true" t="shared" si="24" ref="Y14:Y32">X14/$D$3</f>
        <v>1777.7777777777778</v>
      </c>
      <c r="Z14" s="284">
        <f aca="true" t="shared" si="25" ref="Z14:Z32">X14*$D$4</f>
        <v>7173.6</v>
      </c>
      <c r="AA14" s="257">
        <f t="shared" si="13"/>
        <v>96</v>
      </c>
    </row>
    <row r="15" spans="2:27" ht="16.95" customHeight="1">
      <c r="B15" s="235" t="str">
        <f>+'Income Statement'!B48</f>
        <v>Sales Manager</v>
      </c>
      <c r="C15" s="280">
        <f t="shared" si="14"/>
        <v>0</v>
      </c>
      <c r="D15" s="284">
        <f t="shared" si="15"/>
        <v>0</v>
      </c>
      <c r="E15" s="284">
        <f t="shared" si="16"/>
        <v>0</v>
      </c>
      <c r="F15" s="284">
        <f t="shared" si="17"/>
        <v>0</v>
      </c>
      <c r="G15" s="257">
        <f t="shared" si="7"/>
        <v>0</v>
      </c>
      <c r="H15" s="280">
        <f t="shared" si="8"/>
        <v>0</v>
      </c>
      <c r="I15" s="284">
        <f t="shared" si="1"/>
        <v>0</v>
      </c>
      <c r="J15" s="284">
        <f t="shared" si="18"/>
        <v>0</v>
      </c>
      <c r="K15" s="284">
        <f t="shared" si="19"/>
        <v>0</v>
      </c>
      <c r="L15" s="257">
        <f t="shared" si="9"/>
        <v>0</v>
      </c>
      <c r="M15" s="280">
        <f t="shared" si="2"/>
        <v>30293.429629629627</v>
      </c>
      <c r="N15" s="284">
        <f t="shared" si="3"/>
        <v>21999.999999999996</v>
      </c>
      <c r="O15" s="284">
        <f t="shared" si="20"/>
        <v>1629.6296296296293</v>
      </c>
      <c r="P15" s="284">
        <f t="shared" si="21"/>
        <v>6575.799999999999</v>
      </c>
      <c r="Q15" s="257">
        <f t="shared" si="10"/>
        <v>87.99999999999999</v>
      </c>
      <c r="R15" s="280">
        <f t="shared" si="11"/>
        <v>30293.429629629627</v>
      </c>
      <c r="S15" s="284">
        <f t="shared" si="4"/>
        <v>21999.999999999996</v>
      </c>
      <c r="T15" s="284">
        <f t="shared" si="22"/>
        <v>1629.6296296296293</v>
      </c>
      <c r="U15" s="284">
        <f t="shared" si="23"/>
        <v>6575.799999999999</v>
      </c>
      <c r="V15" s="257">
        <f t="shared" si="12"/>
        <v>87.99999999999999</v>
      </c>
      <c r="W15" s="280">
        <f t="shared" si="5"/>
        <v>30293.429629629627</v>
      </c>
      <c r="X15" s="284">
        <f t="shared" si="6"/>
        <v>21999.999999999996</v>
      </c>
      <c r="Y15" s="284">
        <f t="shared" si="24"/>
        <v>1629.6296296296293</v>
      </c>
      <c r="Z15" s="284">
        <f t="shared" si="25"/>
        <v>6575.799999999999</v>
      </c>
      <c r="AA15" s="257">
        <f t="shared" si="13"/>
        <v>87.99999999999999</v>
      </c>
    </row>
    <row r="16" spans="2:27" ht="16.95" customHeight="1">
      <c r="B16" s="235" t="str">
        <f>+'Income Statement'!B49</f>
        <v>Business Developer</v>
      </c>
      <c r="C16" s="280">
        <f t="shared" si="14"/>
        <v>0</v>
      </c>
      <c r="D16" s="284">
        <f t="shared" si="15"/>
        <v>0</v>
      </c>
      <c r="E16" s="284">
        <f t="shared" si="16"/>
        <v>0</v>
      </c>
      <c r="F16" s="284">
        <f t="shared" si="17"/>
        <v>0</v>
      </c>
      <c r="G16" s="257">
        <f t="shared" si="7"/>
        <v>0</v>
      </c>
      <c r="H16" s="280">
        <f t="shared" si="8"/>
        <v>30293.429629629627</v>
      </c>
      <c r="I16" s="284">
        <f t="shared" si="1"/>
        <v>21999.999999999996</v>
      </c>
      <c r="J16" s="284">
        <f t="shared" si="18"/>
        <v>1629.6296296296293</v>
      </c>
      <c r="K16" s="284">
        <f t="shared" si="19"/>
        <v>6575.799999999999</v>
      </c>
      <c r="L16" s="257">
        <f t="shared" si="9"/>
        <v>87.99999999999999</v>
      </c>
      <c r="M16" s="280">
        <f t="shared" si="2"/>
        <v>30293.429629629627</v>
      </c>
      <c r="N16" s="284">
        <f t="shared" si="3"/>
        <v>21999.999999999996</v>
      </c>
      <c r="O16" s="284">
        <f t="shared" si="20"/>
        <v>1629.6296296296293</v>
      </c>
      <c r="P16" s="284">
        <f t="shared" si="21"/>
        <v>6575.799999999999</v>
      </c>
      <c r="Q16" s="257">
        <f t="shared" si="10"/>
        <v>87.99999999999999</v>
      </c>
      <c r="R16" s="280">
        <f t="shared" si="11"/>
        <v>30293.429629629627</v>
      </c>
      <c r="S16" s="284">
        <f t="shared" si="4"/>
        <v>21999.999999999996</v>
      </c>
      <c r="T16" s="284">
        <f t="shared" si="22"/>
        <v>1629.6296296296293</v>
      </c>
      <c r="U16" s="284">
        <f t="shared" si="23"/>
        <v>6575.799999999999</v>
      </c>
      <c r="V16" s="257">
        <f t="shared" si="12"/>
        <v>87.99999999999999</v>
      </c>
      <c r="W16" s="280">
        <f t="shared" si="5"/>
        <v>30293.429629629627</v>
      </c>
      <c r="X16" s="284">
        <f t="shared" si="6"/>
        <v>21999.999999999996</v>
      </c>
      <c r="Y16" s="284">
        <f t="shared" si="24"/>
        <v>1629.6296296296293</v>
      </c>
      <c r="Z16" s="284">
        <f t="shared" si="25"/>
        <v>6575.799999999999</v>
      </c>
      <c r="AA16" s="257">
        <f t="shared" si="13"/>
        <v>87.99999999999999</v>
      </c>
    </row>
    <row r="17" spans="2:27" ht="16.95" customHeight="1">
      <c r="B17" s="235" t="str">
        <f>+'Income Statement'!B50</f>
        <v>Account Manager</v>
      </c>
      <c r="C17" s="280">
        <f t="shared" si="14"/>
        <v>6884.87037037037</v>
      </c>
      <c r="D17" s="284">
        <f t="shared" si="15"/>
        <v>5000</v>
      </c>
      <c r="E17" s="284">
        <f t="shared" si="16"/>
        <v>370.3703703703704</v>
      </c>
      <c r="F17" s="284">
        <f t="shared" si="17"/>
        <v>1494.5</v>
      </c>
      <c r="G17" s="257">
        <f t="shared" si="7"/>
        <v>20</v>
      </c>
      <c r="H17" s="280">
        <f t="shared" si="8"/>
        <v>30293.429629629627</v>
      </c>
      <c r="I17" s="284">
        <f t="shared" si="1"/>
        <v>21999.999999999996</v>
      </c>
      <c r="J17" s="284">
        <f t="shared" si="18"/>
        <v>1629.6296296296293</v>
      </c>
      <c r="K17" s="284">
        <f t="shared" si="19"/>
        <v>6575.799999999999</v>
      </c>
      <c r="L17" s="257">
        <f t="shared" si="9"/>
        <v>87.99999999999999</v>
      </c>
      <c r="M17" s="280">
        <f t="shared" si="2"/>
        <v>60586.859259259254</v>
      </c>
      <c r="N17" s="284">
        <f t="shared" si="3"/>
        <v>43999.99999999999</v>
      </c>
      <c r="O17" s="284">
        <f t="shared" si="20"/>
        <v>3259.2592592592587</v>
      </c>
      <c r="P17" s="284">
        <f t="shared" si="21"/>
        <v>13151.599999999999</v>
      </c>
      <c r="Q17" s="257">
        <f t="shared" si="10"/>
        <v>175.99999999999997</v>
      </c>
      <c r="R17" s="280">
        <f t="shared" si="11"/>
        <v>60586.859259259254</v>
      </c>
      <c r="S17" s="284">
        <f t="shared" si="4"/>
        <v>43999.99999999999</v>
      </c>
      <c r="T17" s="284">
        <f t="shared" si="22"/>
        <v>3259.2592592592587</v>
      </c>
      <c r="U17" s="284">
        <f t="shared" si="23"/>
        <v>13151.599999999999</v>
      </c>
      <c r="V17" s="257">
        <f t="shared" si="12"/>
        <v>175.99999999999997</v>
      </c>
      <c r="W17" s="280">
        <f t="shared" si="5"/>
        <v>90880.2888888889</v>
      </c>
      <c r="X17" s="284">
        <f t="shared" si="6"/>
        <v>66000</v>
      </c>
      <c r="Y17" s="284">
        <f t="shared" si="24"/>
        <v>4888.888888888889</v>
      </c>
      <c r="Z17" s="284">
        <f t="shared" si="25"/>
        <v>19727.4</v>
      </c>
      <c r="AA17" s="257">
        <f t="shared" si="13"/>
        <v>264</v>
      </c>
    </row>
    <row r="18" spans="2:27" ht="16.95" customHeight="1">
      <c r="B18" s="235" t="str">
        <f>+'Income Statement'!B51</f>
        <v>CMO</v>
      </c>
      <c r="C18" s="280">
        <f t="shared" si="14"/>
        <v>0</v>
      </c>
      <c r="D18" s="284">
        <f t="shared" si="15"/>
        <v>0</v>
      </c>
      <c r="E18" s="284">
        <f t="shared" si="16"/>
        <v>0</v>
      </c>
      <c r="F18" s="284">
        <f t="shared" si="17"/>
        <v>0</v>
      </c>
      <c r="G18" s="257">
        <f t="shared" si="7"/>
        <v>0</v>
      </c>
      <c r="H18" s="280">
        <f t="shared" si="8"/>
        <v>27539.481481481474</v>
      </c>
      <c r="I18" s="284">
        <f t="shared" si="1"/>
        <v>20000</v>
      </c>
      <c r="J18" s="284">
        <f t="shared" si="18"/>
        <v>1481.4814814814815</v>
      </c>
      <c r="K18" s="284">
        <f t="shared" si="19"/>
        <v>5978</v>
      </c>
      <c r="L18" s="257">
        <f t="shared" si="9"/>
        <v>80</v>
      </c>
      <c r="M18" s="280">
        <f t="shared" si="2"/>
        <v>30293.429629629627</v>
      </c>
      <c r="N18" s="284">
        <f t="shared" si="3"/>
        <v>21999.999999999996</v>
      </c>
      <c r="O18" s="284">
        <f t="shared" si="20"/>
        <v>1629.6296296296293</v>
      </c>
      <c r="P18" s="284">
        <f t="shared" si="21"/>
        <v>6575.799999999999</v>
      </c>
      <c r="Q18" s="257">
        <f t="shared" si="10"/>
        <v>87.99999999999999</v>
      </c>
      <c r="R18" s="280">
        <f t="shared" si="11"/>
        <v>30293.429629629627</v>
      </c>
      <c r="S18" s="284">
        <f t="shared" si="4"/>
        <v>21999.999999999996</v>
      </c>
      <c r="T18" s="284">
        <f t="shared" si="22"/>
        <v>1629.6296296296293</v>
      </c>
      <c r="U18" s="284">
        <f t="shared" si="23"/>
        <v>6575.799999999999</v>
      </c>
      <c r="V18" s="257">
        <f t="shared" si="12"/>
        <v>87.99999999999999</v>
      </c>
      <c r="W18" s="280">
        <f t="shared" si="5"/>
        <v>30293.429629629627</v>
      </c>
      <c r="X18" s="284">
        <f t="shared" si="6"/>
        <v>21999.999999999996</v>
      </c>
      <c r="Y18" s="284">
        <f t="shared" si="24"/>
        <v>1629.6296296296293</v>
      </c>
      <c r="Z18" s="284">
        <f t="shared" si="25"/>
        <v>6575.799999999999</v>
      </c>
      <c r="AA18" s="257">
        <f t="shared" si="13"/>
        <v>87.99999999999999</v>
      </c>
    </row>
    <row r="19" spans="2:27" ht="16.95" customHeight="1">
      <c r="B19" s="235" t="str">
        <f>+'Income Statement'!B52</f>
        <v>Marketing Specialist</v>
      </c>
      <c r="C19" s="280">
        <f t="shared" si="14"/>
        <v>0</v>
      </c>
      <c r="D19" s="284">
        <f t="shared" si="15"/>
        <v>0</v>
      </c>
      <c r="E19" s="284">
        <f t="shared" si="16"/>
        <v>0</v>
      </c>
      <c r="F19" s="284">
        <f t="shared" si="17"/>
        <v>0</v>
      </c>
      <c r="G19" s="257">
        <f t="shared" si="7"/>
        <v>0</v>
      </c>
      <c r="H19" s="280">
        <f t="shared" si="8"/>
        <v>0</v>
      </c>
      <c r="I19" s="284">
        <f t="shared" si="1"/>
        <v>0</v>
      </c>
      <c r="J19" s="284">
        <f t="shared" si="18"/>
        <v>0</v>
      </c>
      <c r="K19" s="284">
        <f t="shared" si="19"/>
        <v>0</v>
      </c>
      <c r="L19" s="257">
        <f t="shared" si="9"/>
        <v>0</v>
      </c>
      <c r="M19" s="280">
        <f t="shared" si="2"/>
        <v>27539.481481481474</v>
      </c>
      <c r="N19" s="284">
        <f t="shared" si="3"/>
        <v>20000</v>
      </c>
      <c r="O19" s="284">
        <f t="shared" si="20"/>
        <v>1481.4814814814815</v>
      </c>
      <c r="P19" s="284">
        <f t="shared" si="21"/>
        <v>5978</v>
      </c>
      <c r="Q19" s="257">
        <f t="shared" si="10"/>
        <v>80</v>
      </c>
      <c r="R19" s="280">
        <f t="shared" si="11"/>
        <v>27539.481481481474</v>
      </c>
      <c r="S19" s="284">
        <f t="shared" si="4"/>
        <v>20000</v>
      </c>
      <c r="T19" s="284">
        <f t="shared" si="22"/>
        <v>1481.4814814814815</v>
      </c>
      <c r="U19" s="284">
        <f t="shared" si="23"/>
        <v>5978</v>
      </c>
      <c r="V19" s="257">
        <f t="shared" si="12"/>
        <v>80</v>
      </c>
      <c r="W19" s="280">
        <f t="shared" si="5"/>
        <v>55078.96296296295</v>
      </c>
      <c r="X19" s="284">
        <f t="shared" si="6"/>
        <v>40000</v>
      </c>
      <c r="Y19" s="284">
        <f t="shared" si="24"/>
        <v>2962.962962962963</v>
      </c>
      <c r="Z19" s="284">
        <f t="shared" si="25"/>
        <v>11956</v>
      </c>
      <c r="AA19" s="257">
        <f t="shared" si="13"/>
        <v>160</v>
      </c>
    </row>
    <row r="20" spans="2:27" ht="16.95" customHeight="1">
      <c r="B20" s="235" t="str">
        <f>+'Income Statement'!B53</f>
        <v>Junior Developer</v>
      </c>
      <c r="C20" s="280">
        <f t="shared" si="14"/>
        <v>0</v>
      </c>
      <c r="D20" s="284">
        <f t="shared" si="15"/>
        <v>0</v>
      </c>
      <c r="E20" s="284">
        <f t="shared" si="16"/>
        <v>0</v>
      </c>
      <c r="F20" s="284">
        <f t="shared" si="17"/>
        <v>0</v>
      </c>
      <c r="G20" s="257">
        <f t="shared" si="7"/>
        <v>0</v>
      </c>
      <c r="H20" s="280">
        <f>SUM(O48:Z48)</f>
        <v>27539.481481481474</v>
      </c>
      <c r="I20" s="284">
        <f t="shared" si="1"/>
        <v>20000</v>
      </c>
      <c r="J20" s="284">
        <f t="shared" si="18"/>
        <v>1481.4814814814815</v>
      </c>
      <c r="K20" s="284">
        <f t="shared" si="19"/>
        <v>5978</v>
      </c>
      <c r="L20" s="257">
        <f t="shared" si="9"/>
        <v>80</v>
      </c>
      <c r="M20" s="280">
        <f t="shared" si="2"/>
        <v>55078.96296296295</v>
      </c>
      <c r="N20" s="284">
        <f t="shared" si="3"/>
        <v>40000</v>
      </c>
      <c r="O20" s="284">
        <f t="shared" si="20"/>
        <v>2962.962962962963</v>
      </c>
      <c r="P20" s="284">
        <f t="shared" si="21"/>
        <v>11956</v>
      </c>
      <c r="Q20" s="257">
        <f t="shared" si="10"/>
        <v>160</v>
      </c>
      <c r="R20" s="280">
        <f t="shared" si="11"/>
        <v>55078.96296296295</v>
      </c>
      <c r="S20" s="284">
        <f t="shared" si="4"/>
        <v>40000</v>
      </c>
      <c r="T20" s="284">
        <f t="shared" si="22"/>
        <v>2962.962962962963</v>
      </c>
      <c r="U20" s="284">
        <f t="shared" si="23"/>
        <v>11956</v>
      </c>
      <c r="V20" s="257">
        <f t="shared" si="12"/>
        <v>160</v>
      </c>
      <c r="W20" s="280">
        <f t="shared" si="5"/>
        <v>55078.96296296295</v>
      </c>
      <c r="X20" s="284">
        <f t="shared" si="6"/>
        <v>40000</v>
      </c>
      <c r="Y20" s="284">
        <f t="shared" si="24"/>
        <v>2962.962962962963</v>
      </c>
      <c r="Z20" s="284">
        <f t="shared" si="25"/>
        <v>11956</v>
      </c>
      <c r="AA20" s="257">
        <f t="shared" si="13"/>
        <v>160</v>
      </c>
    </row>
    <row r="21" spans="2:27" ht="16.95" customHeight="1">
      <c r="B21" s="235">
        <f>+'Income Statement'!B54</f>
        <v>0</v>
      </c>
      <c r="C21" s="280">
        <f t="shared" si="14"/>
        <v>0</v>
      </c>
      <c r="D21" s="284">
        <f t="shared" si="15"/>
        <v>0</v>
      </c>
      <c r="E21" s="284">
        <f t="shared" si="16"/>
        <v>0</v>
      </c>
      <c r="F21" s="284">
        <f t="shared" si="17"/>
        <v>0</v>
      </c>
      <c r="G21" s="257">
        <f t="shared" si="7"/>
        <v>0</v>
      </c>
      <c r="H21" s="280">
        <f t="shared" si="8"/>
        <v>0</v>
      </c>
      <c r="I21" s="284">
        <f t="shared" si="1"/>
        <v>0</v>
      </c>
      <c r="J21" s="284">
        <f t="shared" si="18"/>
        <v>0</v>
      </c>
      <c r="K21" s="284">
        <f t="shared" si="19"/>
        <v>0</v>
      </c>
      <c r="L21" s="257">
        <f t="shared" si="9"/>
        <v>0</v>
      </c>
      <c r="M21" s="280">
        <f t="shared" si="2"/>
        <v>0</v>
      </c>
      <c r="N21" s="284">
        <f t="shared" si="3"/>
        <v>0</v>
      </c>
      <c r="O21" s="284">
        <f t="shared" si="20"/>
        <v>0</v>
      </c>
      <c r="P21" s="284">
        <f t="shared" si="21"/>
        <v>0</v>
      </c>
      <c r="Q21" s="257">
        <f t="shared" si="10"/>
        <v>0</v>
      </c>
      <c r="R21" s="280">
        <f t="shared" si="11"/>
        <v>0</v>
      </c>
      <c r="S21" s="284">
        <f t="shared" si="4"/>
        <v>0</v>
      </c>
      <c r="T21" s="284">
        <f t="shared" si="22"/>
        <v>0</v>
      </c>
      <c r="U21" s="284">
        <f t="shared" si="23"/>
        <v>0</v>
      </c>
      <c r="V21" s="257">
        <f t="shared" si="12"/>
        <v>0</v>
      </c>
      <c r="W21" s="280">
        <f t="shared" si="5"/>
        <v>0</v>
      </c>
      <c r="X21" s="284">
        <f t="shared" si="6"/>
        <v>0</v>
      </c>
      <c r="Y21" s="284">
        <f t="shared" si="24"/>
        <v>0</v>
      </c>
      <c r="Z21" s="284">
        <f t="shared" si="25"/>
        <v>0</v>
      </c>
      <c r="AA21" s="257">
        <f t="shared" si="13"/>
        <v>0</v>
      </c>
    </row>
    <row r="22" spans="2:27" ht="16.95" customHeight="1">
      <c r="B22" s="235">
        <f>+'Income Statement'!B55</f>
        <v>0</v>
      </c>
      <c r="C22" s="280">
        <f t="shared" si="14"/>
        <v>0</v>
      </c>
      <c r="D22" s="284">
        <f t="shared" si="15"/>
        <v>0</v>
      </c>
      <c r="E22" s="284">
        <f t="shared" si="16"/>
        <v>0</v>
      </c>
      <c r="F22" s="284">
        <f t="shared" si="17"/>
        <v>0</v>
      </c>
      <c r="G22" s="257">
        <f t="shared" si="7"/>
        <v>0</v>
      </c>
      <c r="H22" s="280">
        <f t="shared" si="8"/>
        <v>0</v>
      </c>
      <c r="I22" s="284">
        <f t="shared" si="1"/>
        <v>0</v>
      </c>
      <c r="J22" s="284">
        <f t="shared" si="18"/>
        <v>0</v>
      </c>
      <c r="K22" s="284">
        <f t="shared" si="19"/>
        <v>0</v>
      </c>
      <c r="L22" s="257">
        <f t="shared" si="9"/>
        <v>0</v>
      </c>
      <c r="M22" s="280">
        <f t="shared" si="2"/>
        <v>0</v>
      </c>
      <c r="N22" s="284">
        <f t="shared" si="3"/>
        <v>0</v>
      </c>
      <c r="O22" s="284">
        <f t="shared" si="20"/>
        <v>0</v>
      </c>
      <c r="P22" s="284">
        <f t="shared" si="21"/>
        <v>0</v>
      </c>
      <c r="Q22" s="257">
        <f t="shared" si="10"/>
        <v>0</v>
      </c>
      <c r="R22" s="280">
        <f t="shared" si="11"/>
        <v>0</v>
      </c>
      <c r="S22" s="284">
        <f t="shared" si="4"/>
        <v>0</v>
      </c>
      <c r="T22" s="284">
        <f t="shared" si="22"/>
        <v>0</v>
      </c>
      <c r="U22" s="284">
        <f t="shared" si="23"/>
        <v>0</v>
      </c>
      <c r="V22" s="257">
        <f t="shared" si="12"/>
        <v>0</v>
      </c>
      <c r="W22" s="280">
        <f t="shared" si="5"/>
        <v>0</v>
      </c>
      <c r="X22" s="284">
        <f t="shared" si="6"/>
        <v>0</v>
      </c>
      <c r="Y22" s="284">
        <f t="shared" si="24"/>
        <v>0</v>
      </c>
      <c r="Z22" s="284">
        <f t="shared" si="25"/>
        <v>0</v>
      </c>
      <c r="AA22" s="257">
        <f t="shared" si="13"/>
        <v>0</v>
      </c>
    </row>
    <row r="23" spans="2:27" ht="16.95" customHeight="1">
      <c r="B23" s="235">
        <f>+'Income Statement'!B56</f>
        <v>0</v>
      </c>
      <c r="C23" s="280">
        <f t="shared" si="14"/>
        <v>0</v>
      </c>
      <c r="D23" s="284">
        <f t="shared" si="15"/>
        <v>0</v>
      </c>
      <c r="E23" s="284">
        <f t="shared" si="16"/>
        <v>0</v>
      </c>
      <c r="F23" s="284">
        <f t="shared" si="17"/>
        <v>0</v>
      </c>
      <c r="G23" s="257">
        <f t="shared" si="7"/>
        <v>0</v>
      </c>
      <c r="H23" s="280">
        <f t="shared" si="8"/>
        <v>0</v>
      </c>
      <c r="I23" s="284">
        <f t="shared" si="1"/>
        <v>0</v>
      </c>
      <c r="J23" s="284">
        <f t="shared" si="18"/>
        <v>0</v>
      </c>
      <c r="K23" s="284">
        <f t="shared" si="19"/>
        <v>0</v>
      </c>
      <c r="L23" s="257">
        <f t="shared" si="9"/>
        <v>0</v>
      </c>
      <c r="M23" s="280">
        <f t="shared" si="2"/>
        <v>0</v>
      </c>
      <c r="N23" s="284">
        <f t="shared" si="3"/>
        <v>0</v>
      </c>
      <c r="O23" s="284">
        <f t="shared" si="20"/>
        <v>0</v>
      </c>
      <c r="P23" s="284">
        <f t="shared" si="21"/>
        <v>0</v>
      </c>
      <c r="Q23" s="257">
        <f t="shared" si="10"/>
        <v>0</v>
      </c>
      <c r="R23" s="280">
        <f t="shared" si="11"/>
        <v>0</v>
      </c>
      <c r="S23" s="284">
        <f t="shared" si="4"/>
        <v>0</v>
      </c>
      <c r="T23" s="284">
        <f t="shared" si="22"/>
        <v>0</v>
      </c>
      <c r="U23" s="284">
        <f t="shared" si="23"/>
        <v>0</v>
      </c>
      <c r="V23" s="257">
        <f t="shared" si="12"/>
        <v>0</v>
      </c>
      <c r="W23" s="280">
        <f t="shared" si="5"/>
        <v>0</v>
      </c>
      <c r="X23" s="284">
        <f t="shared" si="6"/>
        <v>0</v>
      </c>
      <c r="Y23" s="284">
        <f t="shared" si="24"/>
        <v>0</v>
      </c>
      <c r="Z23" s="284">
        <f t="shared" si="25"/>
        <v>0</v>
      </c>
      <c r="AA23" s="257">
        <f t="shared" si="13"/>
        <v>0</v>
      </c>
    </row>
    <row r="24" spans="2:27" ht="16.95" customHeight="1">
      <c r="B24" s="235">
        <f>+'Income Statement'!B57</f>
        <v>0</v>
      </c>
      <c r="C24" s="280">
        <f>SUM(C52:N52)</f>
        <v>0</v>
      </c>
      <c r="D24" s="284">
        <f t="shared" si="15"/>
        <v>0</v>
      </c>
      <c r="E24" s="284">
        <f t="shared" si="16"/>
        <v>0</v>
      </c>
      <c r="F24" s="284">
        <f t="shared" si="17"/>
        <v>0</v>
      </c>
      <c r="G24" s="257">
        <f t="shared" si="7"/>
        <v>0</v>
      </c>
      <c r="H24" s="280">
        <f t="shared" si="8"/>
        <v>0</v>
      </c>
      <c r="I24" s="284">
        <f t="shared" si="1"/>
        <v>0</v>
      </c>
      <c r="J24" s="284">
        <f t="shared" si="18"/>
        <v>0</v>
      </c>
      <c r="K24" s="284">
        <f t="shared" si="19"/>
        <v>0</v>
      </c>
      <c r="L24" s="257">
        <f t="shared" si="9"/>
        <v>0</v>
      </c>
      <c r="M24" s="280">
        <f t="shared" si="2"/>
        <v>0</v>
      </c>
      <c r="N24" s="284">
        <f t="shared" si="3"/>
        <v>0</v>
      </c>
      <c r="O24" s="284">
        <f t="shared" si="20"/>
        <v>0</v>
      </c>
      <c r="P24" s="284">
        <f t="shared" si="21"/>
        <v>0</v>
      </c>
      <c r="Q24" s="257">
        <f t="shared" si="10"/>
        <v>0</v>
      </c>
      <c r="R24" s="280">
        <f t="shared" si="11"/>
        <v>0</v>
      </c>
      <c r="S24" s="284">
        <f t="shared" si="4"/>
        <v>0</v>
      </c>
      <c r="T24" s="284">
        <f t="shared" si="22"/>
        <v>0</v>
      </c>
      <c r="U24" s="284">
        <f t="shared" si="23"/>
        <v>0</v>
      </c>
      <c r="V24" s="257">
        <f t="shared" si="12"/>
        <v>0</v>
      </c>
      <c r="W24" s="280">
        <f t="shared" si="5"/>
        <v>0</v>
      </c>
      <c r="X24" s="284">
        <f t="shared" si="6"/>
        <v>0</v>
      </c>
      <c r="Y24" s="284">
        <f t="shared" si="24"/>
        <v>0</v>
      </c>
      <c r="Z24" s="284">
        <f t="shared" si="25"/>
        <v>0</v>
      </c>
      <c r="AA24" s="257">
        <f t="shared" si="13"/>
        <v>0</v>
      </c>
    </row>
    <row r="25" spans="2:27" ht="16.95" customHeight="1">
      <c r="B25" s="235">
        <f>+'Income Statement'!B58</f>
        <v>0</v>
      </c>
      <c r="C25" s="280">
        <f t="shared" si="14"/>
        <v>0</v>
      </c>
      <c r="D25" s="284">
        <f t="shared" si="15"/>
        <v>0</v>
      </c>
      <c r="E25" s="284">
        <f t="shared" si="16"/>
        <v>0</v>
      </c>
      <c r="F25" s="284">
        <f t="shared" si="17"/>
        <v>0</v>
      </c>
      <c r="G25" s="257">
        <f t="shared" si="7"/>
        <v>0</v>
      </c>
      <c r="H25" s="280">
        <f t="shared" si="8"/>
        <v>0</v>
      </c>
      <c r="I25" s="284">
        <f t="shared" si="1"/>
        <v>0</v>
      </c>
      <c r="J25" s="284">
        <f t="shared" si="18"/>
        <v>0</v>
      </c>
      <c r="K25" s="284">
        <f t="shared" si="19"/>
        <v>0</v>
      </c>
      <c r="L25" s="257">
        <f t="shared" si="9"/>
        <v>0</v>
      </c>
      <c r="M25" s="280">
        <f t="shared" si="2"/>
        <v>0</v>
      </c>
      <c r="N25" s="284">
        <f t="shared" si="3"/>
        <v>0</v>
      </c>
      <c r="O25" s="284">
        <f t="shared" si="20"/>
        <v>0</v>
      </c>
      <c r="P25" s="284">
        <f t="shared" si="21"/>
        <v>0</v>
      </c>
      <c r="Q25" s="257">
        <f t="shared" si="10"/>
        <v>0</v>
      </c>
      <c r="R25" s="280">
        <f t="shared" si="11"/>
        <v>0</v>
      </c>
      <c r="S25" s="284">
        <f t="shared" si="4"/>
        <v>0</v>
      </c>
      <c r="T25" s="284">
        <f t="shared" si="22"/>
        <v>0</v>
      </c>
      <c r="U25" s="284">
        <f t="shared" si="23"/>
        <v>0</v>
      </c>
      <c r="V25" s="257">
        <f t="shared" si="12"/>
        <v>0</v>
      </c>
      <c r="W25" s="280">
        <f t="shared" si="5"/>
        <v>0</v>
      </c>
      <c r="X25" s="284">
        <f t="shared" si="6"/>
        <v>0</v>
      </c>
      <c r="Y25" s="284">
        <f t="shared" si="24"/>
        <v>0</v>
      </c>
      <c r="Z25" s="284">
        <f t="shared" si="25"/>
        <v>0</v>
      </c>
      <c r="AA25" s="257">
        <f t="shared" si="13"/>
        <v>0</v>
      </c>
    </row>
    <row r="26" spans="2:27" ht="16.95" customHeight="1">
      <c r="B26" s="235">
        <f>+'Income Statement'!B59</f>
        <v>0</v>
      </c>
      <c r="C26" s="280">
        <f t="shared" si="14"/>
        <v>0</v>
      </c>
      <c r="D26" s="284">
        <f t="shared" si="15"/>
        <v>0</v>
      </c>
      <c r="E26" s="284">
        <f t="shared" si="16"/>
        <v>0</v>
      </c>
      <c r="F26" s="284">
        <f t="shared" si="17"/>
        <v>0</v>
      </c>
      <c r="G26" s="257">
        <f t="shared" si="7"/>
        <v>0</v>
      </c>
      <c r="H26" s="280">
        <f t="shared" si="8"/>
        <v>0</v>
      </c>
      <c r="I26" s="284">
        <f t="shared" si="1"/>
        <v>0</v>
      </c>
      <c r="J26" s="284">
        <f t="shared" si="18"/>
        <v>0</v>
      </c>
      <c r="K26" s="284">
        <f t="shared" si="19"/>
        <v>0</v>
      </c>
      <c r="L26" s="257">
        <f t="shared" si="9"/>
        <v>0</v>
      </c>
      <c r="M26" s="280">
        <f t="shared" si="2"/>
        <v>0</v>
      </c>
      <c r="N26" s="284">
        <f t="shared" si="3"/>
        <v>0</v>
      </c>
      <c r="O26" s="284">
        <f t="shared" si="20"/>
        <v>0</v>
      </c>
      <c r="P26" s="284">
        <f t="shared" si="21"/>
        <v>0</v>
      </c>
      <c r="Q26" s="257">
        <f t="shared" si="10"/>
        <v>0</v>
      </c>
      <c r="R26" s="280">
        <f t="shared" si="11"/>
        <v>0</v>
      </c>
      <c r="S26" s="284">
        <f t="shared" si="4"/>
        <v>0</v>
      </c>
      <c r="T26" s="284">
        <f t="shared" si="22"/>
        <v>0</v>
      </c>
      <c r="U26" s="284">
        <f t="shared" si="23"/>
        <v>0</v>
      </c>
      <c r="V26" s="257">
        <f t="shared" si="12"/>
        <v>0</v>
      </c>
      <c r="W26" s="280">
        <f t="shared" si="5"/>
        <v>0</v>
      </c>
      <c r="X26" s="284">
        <f t="shared" si="6"/>
        <v>0</v>
      </c>
      <c r="Y26" s="284">
        <f t="shared" si="24"/>
        <v>0</v>
      </c>
      <c r="Z26" s="284">
        <f t="shared" si="25"/>
        <v>0</v>
      </c>
      <c r="AA26" s="257">
        <f t="shared" si="13"/>
        <v>0</v>
      </c>
    </row>
    <row r="27" spans="2:27" ht="16.95" customHeight="1">
      <c r="B27" s="235">
        <f>+'Income Statement'!B60</f>
        <v>0</v>
      </c>
      <c r="C27" s="280">
        <f t="shared" si="14"/>
        <v>0</v>
      </c>
      <c r="D27" s="284">
        <f t="shared" si="15"/>
        <v>0</v>
      </c>
      <c r="E27" s="284">
        <f t="shared" si="16"/>
        <v>0</v>
      </c>
      <c r="F27" s="284">
        <f t="shared" si="17"/>
        <v>0</v>
      </c>
      <c r="G27" s="257">
        <f t="shared" si="7"/>
        <v>0</v>
      </c>
      <c r="H27" s="280">
        <f t="shared" si="8"/>
        <v>0</v>
      </c>
      <c r="I27" s="284">
        <f t="shared" si="1"/>
        <v>0</v>
      </c>
      <c r="J27" s="284">
        <f t="shared" si="18"/>
        <v>0</v>
      </c>
      <c r="K27" s="284">
        <f t="shared" si="19"/>
        <v>0</v>
      </c>
      <c r="L27" s="257">
        <f t="shared" si="9"/>
        <v>0</v>
      </c>
      <c r="M27" s="280">
        <f t="shared" si="2"/>
        <v>0</v>
      </c>
      <c r="N27" s="284">
        <f t="shared" si="3"/>
        <v>0</v>
      </c>
      <c r="O27" s="284">
        <f t="shared" si="20"/>
        <v>0</v>
      </c>
      <c r="P27" s="284">
        <f t="shared" si="21"/>
        <v>0</v>
      </c>
      <c r="Q27" s="257">
        <f t="shared" si="10"/>
        <v>0</v>
      </c>
      <c r="R27" s="280">
        <f t="shared" si="11"/>
        <v>0</v>
      </c>
      <c r="S27" s="284">
        <f t="shared" si="4"/>
        <v>0</v>
      </c>
      <c r="T27" s="284">
        <f t="shared" si="22"/>
        <v>0</v>
      </c>
      <c r="U27" s="284">
        <f t="shared" si="23"/>
        <v>0</v>
      </c>
      <c r="V27" s="257">
        <f t="shared" si="12"/>
        <v>0</v>
      </c>
      <c r="W27" s="280">
        <f t="shared" si="5"/>
        <v>0</v>
      </c>
      <c r="X27" s="284">
        <f t="shared" si="6"/>
        <v>0</v>
      </c>
      <c r="Y27" s="284">
        <f t="shared" si="24"/>
        <v>0</v>
      </c>
      <c r="Z27" s="284">
        <f t="shared" si="25"/>
        <v>0</v>
      </c>
      <c r="AA27" s="257">
        <f t="shared" si="13"/>
        <v>0</v>
      </c>
    </row>
    <row r="28" spans="2:27" ht="16.95" customHeight="1">
      <c r="B28" s="235">
        <f>+'Income Statement'!B61</f>
        <v>0</v>
      </c>
      <c r="C28" s="280">
        <f t="shared" si="14"/>
        <v>0</v>
      </c>
      <c r="D28" s="284">
        <f t="shared" si="15"/>
        <v>0</v>
      </c>
      <c r="E28" s="284">
        <f t="shared" si="16"/>
        <v>0</v>
      </c>
      <c r="F28" s="284">
        <f t="shared" si="17"/>
        <v>0</v>
      </c>
      <c r="G28" s="257">
        <f t="shared" si="7"/>
        <v>0</v>
      </c>
      <c r="H28" s="280">
        <f t="shared" si="8"/>
        <v>0</v>
      </c>
      <c r="I28" s="284">
        <f t="shared" si="1"/>
        <v>0</v>
      </c>
      <c r="J28" s="284">
        <f t="shared" si="18"/>
        <v>0</v>
      </c>
      <c r="K28" s="284">
        <f t="shared" si="19"/>
        <v>0</v>
      </c>
      <c r="L28" s="257">
        <f t="shared" si="9"/>
        <v>0</v>
      </c>
      <c r="M28" s="280">
        <f t="shared" si="2"/>
        <v>0</v>
      </c>
      <c r="N28" s="284">
        <f t="shared" si="3"/>
        <v>0</v>
      </c>
      <c r="O28" s="284">
        <f t="shared" si="20"/>
        <v>0</v>
      </c>
      <c r="P28" s="284">
        <f t="shared" si="21"/>
        <v>0</v>
      </c>
      <c r="Q28" s="257">
        <f t="shared" si="10"/>
        <v>0</v>
      </c>
      <c r="R28" s="280">
        <f t="shared" si="11"/>
        <v>0</v>
      </c>
      <c r="S28" s="284">
        <f t="shared" si="4"/>
        <v>0</v>
      </c>
      <c r="T28" s="284">
        <f t="shared" si="22"/>
        <v>0</v>
      </c>
      <c r="U28" s="284">
        <f t="shared" si="23"/>
        <v>0</v>
      </c>
      <c r="V28" s="257">
        <f t="shared" si="12"/>
        <v>0</v>
      </c>
      <c r="W28" s="280">
        <f t="shared" si="5"/>
        <v>0</v>
      </c>
      <c r="X28" s="284">
        <f t="shared" si="6"/>
        <v>0</v>
      </c>
      <c r="Y28" s="284">
        <f t="shared" si="24"/>
        <v>0</v>
      </c>
      <c r="Z28" s="284">
        <f t="shared" si="25"/>
        <v>0</v>
      </c>
      <c r="AA28" s="257">
        <f t="shared" si="13"/>
        <v>0</v>
      </c>
    </row>
    <row r="29" spans="2:27" ht="16.95" customHeight="1">
      <c r="B29" s="235">
        <f>+'Income Statement'!B62</f>
        <v>0</v>
      </c>
      <c r="C29" s="280">
        <f t="shared" si="14"/>
        <v>0</v>
      </c>
      <c r="D29" s="284">
        <f t="shared" si="15"/>
        <v>0</v>
      </c>
      <c r="E29" s="284">
        <f t="shared" si="16"/>
        <v>0</v>
      </c>
      <c r="F29" s="284">
        <f t="shared" si="17"/>
        <v>0</v>
      </c>
      <c r="G29" s="257">
        <f t="shared" si="7"/>
        <v>0</v>
      </c>
      <c r="H29" s="280">
        <f t="shared" si="8"/>
        <v>0</v>
      </c>
      <c r="I29" s="284">
        <f t="shared" si="1"/>
        <v>0</v>
      </c>
      <c r="J29" s="284">
        <f t="shared" si="18"/>
        <v>0</v>
      </c>
      <c r="K29" s="284">
        <f t="shared" si="19"/>
        <v>0</v>
      </c>
      <c r="L29" s="257">
        <f t="shared" si="9"/>
        <v>0</v>
      </c>
      <c r="M29" s="280">
        <f t="shared" si="2"/>
        <v>0</v>
      </c>
      <c r="N29" s="284">
        <f t="shared" si="3"/>
        <v>0</v>
      </c>
      <c r="O29" s="284">
        <f t="shared" si="20"/>
        <v>0</v>
      </c>
      <c r="P29" s="284">
        <f t="shared" si="21"/>
        <v>0</v>
      </c>
      <c r="Q29" s="257">
        <f t="shared" si="10"/>
        <v>0</v>
      </c>
      <c r="R29" s="280">
        <f t="shared" si="11"/>
        <v>0</v>
      </c>
      <c r="S29" s="284">
        <f t="shared" si="4"/>
        <v>0</v>
      </c>
      <c r="T29" s="284">
        <f t="shared" si="22"/>
        <v>0</v>
      </c>
      <c r="U29" s="284">
        <f t="shared" si="23"/>
        <v>0</v>
      </c>
      <c r="V29" s="257">
        <f t="shared" si="12"/>
        <v>0</v>
      </c>
      <c r="W29" s="280">
        <f t="shared" si="5"/>
        <v>0</v>
      </c>
      <c r="X29" s="284">
        <f t="shared" si="6"/>
        <v>0</v>
      </c>
      <c r="Y29" s="284">
        <f t="shared" si="24"/>
        <v>0</v>
      </c>
      <c r="Z29" s="284">
        <f t="shared" si="25"/>
        <v>0</v>
      </c>
      <c r="AA29" s="257">
        <f t="shared" si="13"/>
        <v>0</v>
      </c>
    </row>
    <row r="30" spans="2:27" ht="16.95" customHeight="1">
      <c r="B30" s="235">
        <f>+'Income Statement'!B63</f>
        <v>0</v>
      </c>
      <c r="C30" s="280">
        <f t="shared" si="14"/>
        <v>0</v>
      </c>
      <c r="D30" s="284">
        <f t="shared" si="15"/>
        <v>0</v>
      </c>
      <c r="E30" s="284">
        <f t="shared" si="16"/>
        <v>0</v>
      </c>
      <c r="F30" s="284">
        <f t="shared" si="17"/>
        <v>0</v>
      </c>
      <c r="G30" s="257">
        <f t="shared" si="7"/>
        <v>0</v>
      </c>
      <c r="H30" s="280">
        <f t="shared" si="8"/>
        <v>0</v>
      </c>
      <c r="I30" s="284">
        <f t="shared" si="1"/>
        <v>0</v>
      </c>
      <c r="J30" s="284">
        <f t="shared" si="18"/>
        <v>0</v>
      </c>
      <c r="K30" s="284">
        <f t="shared" si="19"/>
        <v>0</v>
      </c>
      <c r="L30" s="257">
        <f t="shared" si="9"/>
        <v>0</v>
      </c>
      <c r="M30" s="280">
        <f t="shared" si="2"/>
        <v>0</v>
      </c>
      <c r="N30" s="284">
        <f t="shared" si="3"/>
        <v>0</v>
      </c>
      <c r="O30" s="284">
        <f t="shared" si="20"/>
        <v>0</v>
      </c>
      <c r="P30" s="284">
        <f t="shared" si="21"/>
        <v>0</v>
      </c>
      <c r="Q30" s="257">
        <f t="shared" si="10"/>
        <v>0</v>
      </c>
      <c r="R30" s="280">
        <f t="shared" si="11"/>
        <v>0</v>
      </c>
      <c r="S30" s="284">
        <f t="shared" si="4"/>
        <v>0</v>
      </c>
      <c r="T30" s="284">
        <f t="shared" si="22"/>
        <v>0</v>
      </c>
      <c r="U30" s="284">
        <f t="shared" si="23"/>
        <v>0</v>
      </c>
      <c r="V30" s="257">
        <f t="shared" si="12"/>
        <v>0</v>
      </c>
      <c r="W30" s="280">
        <f t="shared" si="5"/>
        <v>0</v>
      </c>
      <c r="X30" s="284">
        <f t="shared" si="6"/>
        <v>0</v>
      </c>
      <c r="Y30" s="284">
        <f t="shared" si="24"/>
        <v>0</v>
      </c>
      <c r="Z30" s="284">
        <f t="shared" si="25"/>
        <v>0</v>
      </c>
      <c r="AA30" s="257">
        <f t="shared" si="13"/>
        <v>0</v>
      </c>
    </row>
    <row r="31" spans="2:27" ht="16.95" customHeight="1">
      <c r="B31" s="235">
        <f>+'Income Statement'!B64</f>
        <v>0</v>
      </c>
      <c r="C31" s="280">
        <f t="shared" si="14"/>
        <v>0</v>
      </c>
      <c r="D31" s="284">
        <f t="shared" si="15"/>
        <v>0</v>
      </c>
      <c r="E31" s="284">
        <f>D31/$D$3</f>
        <v>0</v>
      </c>
      <c r="F31" s="284">
        <f t="shared" si="17"/>
        <v>0</v>
      </c>
      <c r="G31" s="257">
        <f t="shared" si="7"/>
        <v>0</v>
      </c>
      <c r="H31" s="280">
        <f t="shared" si="8"/>
        <v>0</v>
      </c>
      <c r="I31" s="284">
        <f t="shared" si="1"/>
        <v>0</v>
      </c>
      <c r="J31" s="284">
        <f>I31/$D$3</f>
        <v>0</v>
      </c>
      <c r="K31" s="284">
        <f t="shared" si="19"/>
        <v>0</v>
      </c>
      <c r="L31" s="257">
        <f t="shared" si="9"/>
        <v>0</v>
      </c>
      <c r="M31" s="280">
        <f t="shared" si="2"/>
        <v>0</v>
      </c>
      <c r="N31" s="284">
        <f t="shared" si="3"/>
        <v>0</v>
      </c>
      <c r="O31" s="284">
        <f>N31/$D$3</f>
        <v>0</v>
      </c>
      <c r="P31" s="284">
        <f t="shared" si="21"/>
        <v>0</v>
      </c>
      <c r="Q31" s="257">
        <f t="shared" si="10"/>
        <v>0</v>
      </c>
      <c r="R31" s="280">
        <f t="shared" si="11"/>
        <v>0</v>
      </c>
      <c r="S31" s="284">
        <f t="shared" si="4"/>
        <v>0</v>
      </c>
      <c r="T31" s="284">
        <f>S31/$D$3</f>
        <v>0</v>
      </c>
      <c r="U31" s="284">
        <f t="shared" si="23"/>
        <v>0</v>
      </c>
      <c r="V31" s="257">
        <f t="shared" si="12"/>
        <v>0</v>
      </c>
      <c r="W31" s="280">
        <f t="shared" si="5"/>
        <v>0</v>
      </c>
      <c r="X31" s="284">
        <f t="shared" si="6"/>
        <v>0</v>
      </c>
      <c r="Y31" s="284">
        <f>X31/$D$3</f>
        <v>0</v>
      </c>
      <c r="Z31" s="284">
        <f t="shared" si="25"/>
        <v>0</v>
      </c>
      <c r="AA31" s="257">
        <f t="shared" si="13"/>
        <v>0</v>
      </c>
    </row>
    <row r="32" spans="2:27" ht="16.95" customHeight="1" thickBot="1">
      <c r="B32" s="241">
        <f>+'Income Statement'!B65</f>
        <v>0</v>
      </c>
      <c r="C32" s="281">
        <f t="shared" si="14"/>
        <v>0</v>
      </c>
      <c r="D32" s="285">
        <f t="shared" si="15"/>
        <v>0</v>
      </c>
      <c r="E32" s="285">
        <f t="shared" si="16"/>
        <v>0</v>
      </c>
      <c r="F32" s="285">
        <f t="shared" si="17"/>
        <v>0</v>
      </c>
      <c r="G32" s="258">
        <f t="shared" si="7"/>
        <v>0</v>
      </c>
      <c r="H32" s="281">
        <f t="shared" si="8"/>
        <v>0</v>
      </c>
      <c r="I32" s="285">
        <f t="shared" si="1"/>
        <v>0</v>
      </c>
      <c r="J32" s="285">
        <f t="shared" si="18"/>
        <v>0</v>
      </c>
      <c r="K32" s="285">
        <f t="shared" si="19"/>
        <v>0</v>
      </c>
      <c r="L32" s="258">
        <f t="shared" si="9"/>
        <v>0</v>
      </c>
      <c r="M32" s="281">
        <f t="shared" si="2"/>
        <v>0</v>
      </c>
      <c r="N32" s="285">
        <f t="shared" si="3"/>
        <v>0</v>
      </c>
      <c r="O32" s="285">
        <f t="shared" si="20"/>
        <v>0</v>
      </c>
      <c r="P32" s="285">
        <f t="shared" si="21"/>
        <v>0</v>
      </c>
      <c r="Q32" s="258">
        <f t="shared" si="10"/>
        <v>0</v>
      </c>
      <c r="R32" s="281">
        <f t="shared" si="11"/>
        <v>0</v>
      </c>
      <c r="S32" s="285">
        <f t="shared" si="4"/>
        <v>0</v>
      </c>
      <c r="T32" s="285">
        <f t="shared" si="22"/>
        <v>0</v>
      </c>
      <c r="U32" s="285">
        <f t="shared" si="23"/>
        <v>0</v>
      </c>
      <c r="V32" s="258">
        <f t="shared" si="12"/>
        <v>0</v>
      </c>
      <c r="W32" s="281">
        <f t="shared" si="5"/>
        <v>0</v>
      </c>
      <c r="X32" s="285">
        <f t="shared" si="6"/>
        <v>0</v>
      </c>
      <c r="Y32" s="285">
        <f t="shared" si="24"/>
        <v>0</v>
      </c>
      <c r="Z32" s="285">
        <f t="shared" si="25"/>
        <v>0</v>
      </c>
      <c r="AA32" s="258">
        <f t="shared" si="13"/>
        <v>0</v>
      </c>
    </row>
    <row r="34" spans="6:7" ht="16.2" thickBot="1">
      <c r="F34" s="252"/>
      <c r="G34" s="252"/>
    </row>
    <row r="35" spans="2:62" ht="15.75">
      <c r="B35" s="1603" t="s">
        <v>204</v>
      </c>
      <c r="C35" s="1579">
        <f>C8</f>
        <v>2020</v>
      </c>
      <c r="D35" s="1579"/>
      <c r="E35" s="1579"/>
      <c r="F35" s="1579"/>
      <c r="G35" s="1579"/>
      <c r="H35" s="1579"/>
      <c r="I35" s="1579"/>
      <c r="J35" s="1579"/>
      <c r="K35" s="1579"/>
      <c r="L35" s="1579"/>
      <c r="M35" s="1579"/>
      <c r="N35" s="1580"/>
      <c r="O35" s="1595">
        <f>1+C35</f>
        <v>2021</v>
      </c>
      <c r="P35" s="1579"/>
      <c r="Q35" s="1579"/>
      <c r="R35" s="1579"/>
      <c r="S35" s="1579"/>
      <c r="T35" s="1579"/>
      <c r="U35" s="1579"/>
      <c r="V35" s="1579"/>
      <c r="W35" s="1579"/>
      <c r="X35" s="1579"/>
      <c r="Y35" s="1579"/>
      <c r="Z35" s="1580"/>
      <c r="AA35" s="1595">
        <f>1+O35</f>
        <v>2022</v>
      </c>
      <c r="AB35" s="1579"/>
      <c r="AC35" s="1579"/>
      <c r="AD35" s="1579"/>
      <c r="AE35" s="1579"/>
      <c r="AF35" s="1579"/>
      <c r="AG35" s="1579"/>
      <c r="AH35" s="1579"/>
      <c r="AI35" s="1579"/>
      <c r="AJ35" s="1579"/>
      <c r="AK35" s="1579"/>
      <c r="AL35" s="1580"/>
      <c r="AM35" s="1595">
        <f>1+AA35</f>
        <v>2023</v>
      </c>
      <c r="AN35" s="1579"/>
      <c r="AO35" s="1579"/>
      <c r="AP35" s="1579"/>
      <c r="AQ35" s="1579"/>
      <c r="AR35" s="1579"/>
      <c r="AS35" s="1579"/>
      <c r="AT35" s="1579"/>
      <c r="AU35" s="1579"/>
      <c r="AV35" s="1579"/>
      <c r="AW35" s="1579"/>
      <c r="AX35" s="1580"/>
      <c r="AY35" s="1595">
        <f>1+AM35</f>
        <v>2024</v>
      </c>
      <c r="AZ35" s="1579"/>
      <c r="BA35" s="1579"/>
      <c r="BB35" s="1579"/>
      <c r="BC35" s="1579"/>
      <c r="BD35" s="1579"/>
      <c r="BE35" s="1579"/>
      <c r="BF35" s="1579"/>
      <c r="BG35" s="1579"/>
      <c r="BH35" s="1579"/>
      <c r="BI35" s="1579"/>
      <c r="BJ35" s="1580"/>
    </row>
    <row r="36" spans="2:62" ht="16.2" thickBot="1">
      <c r="B36" s="1604"/>
      <c r="C36" s="1581"/>
      <c r="D36" s="1581"/>
      <c r="E36" s="1581"/>
      <c r="F36" s="1581"/>
      <c r="G36" s="1581"/>
      <c r="H36" s="1581"/>
      <c r="I36" s="1581"/>
      <c r="J36" s="1581"/>
      <c r="K36" s="1581"/>
      <c r="L36" s="1581"/>
      <c r="M36" s="1581"/>
      <c r="N36" s="1582"/>
      <c r="O36" s="1596"/>
      <c r="P36" s="1581"/>
      <c r="Q36" s="1581"/>
      <c r="R36" s="1581"/>
      <c r="S36" s="1581"/>
      <c r="T36" s="1581"/>
      <c r="U36" s="1581"/>
      <c r="V36" s="1581"/>
      <c r="W36" s="1581"/>
      <c r="X36" s="1581"/>
      <c r="Y36" s="1581"/>
      <c r="Z36" s="1582"/>
      <c r="AA36" s="1596"/>
      <c r="AB36" s="1581"/>
      <c r="AC36" s="1581"/>
      <c r="AD36" s="1581"/>
      <c r="AE36" s="1581"/>
      <c r="AF36" s="1581"/>
      <c r="AG36" s="1581"/>
      <c r="AH36" s="1581"/>
      <c r="AI36" s="1581"/>
      <c r="AJ36" s="1581"/>
      <c r="AK36" s="1581"/>
      <c r="AL36" s="1582"/>
      <c r="AM36" s="1596"/>
      <c r="AN36" s="1581"/>
      <c r="AO36" s="1581"/>
      <c r="AP36" s="1581"/>
      <c r="AQ36" s="1581"/>
      <c r="AR36" s="1581"/>
      <c r="AS36" s="1581"/>
      <c r="AT36" s="1581"/>
      <c r="AU36" s="1581"/>
      <c r="AV36" s="1581"/>
      <c r="AW36" s="1581"/>
      <c r="AX36" s="1582"/>
      <c r="AY36" s="1596"/>
      <c r="AZ36" s="1581"/>
      <c r="BA36" s="1581"/>
      <c r="BB36" s="1581"/>
      <c r="BC36" s="1581"/>
      <c r="BD36" s="1581"/>
      <c r="BE36" s="1581"/>
      <c r="BF36" s="1581"/>
      <c r="BG36" s="1581"/>
      <c r="BH36" s="1581"/>
      <c r="BI36" s="1581"/>
      <c r="BJ36" s="1582"/>
    </row>
    <row r="37" spans="2:62" ht="16.2" thickBot="1">
      <c r="B37" s="1604"/>
      <c r="C37" s="275" t="s">
        <v>187</v>
      </c>
      <c r="D37" s="275" t="s">
        <v>188</v>
      </c>
      <c r="E37" s="275" t="s">
        <v>189</v>
      </c>
      <c r="F37" s="275" t="s">
        <v>190</v>
      </c>
      <c r="G37" s="275" t="s">
        <v>8</v>
      </c>
      <c r="H37" s="275" t="s">
        <v>191</v>
      </c>
      <c r="I37" s="275" t="s">
        <v>192</v>
      </c>
      <c r="J37" s="275" t="s">
        <v>193</v>
      </c>
      <c r="K37" s="275" t="s">
        <v>194</v>
      </c>
      <c r="L37" s="275" t="s">
        <v>195</v>
      </c>
      <c r="M37" s="275" t="s">
        <v>196</v>
      </c>
      <c r="N37" s="275" t="s">
        <v>197</v>
      </c>
      <c r="O37" s="274" t="s">
        <v>187</v>
      </c>
      <c r="P37" s="275" t="s">
        <v>188</v>
      </c>
      <c r="Q37" s="275" t="s">
        <v>189</v>
      </c>
      <c r="R37" s="275" t="s">
        <v>190</v>
      </c>
      <c r="S37" s="275" t="s">
        <v>8</v>
      </c>
      <c r="T37" s="275" t="s">
        <v>191</v>
      </c>
      <c r="U37" s="275" t="s">
        <v>192</v>
      </c>
      <c r="V37" s="275" t="s">
        <v>193</v>
      </c>
      <c r="W37" s="275" t="s">
        <v>194</v>
      </c>
      <c r="X37" s="275" t="s">
        <v>195</v>
      </c>
      <c r="Y37" s="275" t="s">
        <v>196</v>
      </c>
      <c r="Z37" s="276" t="s">
        <v>197</v>
      </c>
      <c r="AA37" s="274" t="s">
        <v>187</v>
      </c>
      <c r="AB37" s="275" t="s">
        <v>188</v>
      </c>
      <c r="AC37" s="275" t="s">
        <v>189</v>
      </c>
      <c r="AD37" s="275" t="s">
        <v>190</v>
      </c>
      <c r="AE37" s="275" t="s">
        <v>8</v>
      </c>
      <c r="AF37" s="275" t="s">
        <v>191</v>
      </c>
      <c r="AG37" s="275" t="s">
        <v>192</v>
      </c>
      <c r="AH37" s="275" t="s">
        <v>193</v>
      </c>
      <c r="AI37" s="275" t="s">
        <v>194</v>
      </c>
      <c r="AJ37" s="275" t="s">
        <v>195</v>
      </c>
      <c r="AK37" s="275" t="s">
        <v>196</v>
      </c>
      <c r="AL37" s="276" t="s">
        <v>197</v>
      </c>
      <c r="AM37" s="274" t="s">
        <v>187</v>
      </c>
      <c r="AN37" s="275" t="s">
        <v>188</v>
      </c>
      <c r="AO37" s="275" t="s">
        <v>189</v>
      </c>
      <c r="AP37" s="275" t="s">
        <v>190</v>
      </c>
      <c r="AQ37" s="275" t="s">
        <v>8</v>
      </c>
      <c r="AR37" s="275" t="s">
        <v>191</v>
      </c>
      <c r="AS37" s="275" t="s">
        <v>192</v>
      </c>
      <c r="AT37" s="275" t="s">
        <v>193</v>
      </c>
      <c r="AU37" s="275" t="s">
        <v>194</v>
      </c>
      <c r="AV37" s="275" t="s">
        <v>195</v>
      </c>
      <c r="AW37" s="275" t="s">
        <v>196</v>
      </c>
      <c r="AX37" s="276" t="s">
        <v>197</v>
      </c>
      <c r="AY37" s="414" t="s">
        <v>187</v>
      </c>
      <c r="AZ37" s="275" t="s">
        <v>188</v>
      </c>
      <c r="BA37" s="275" t="s">
        <v>189</v>
      </c>
      <c r="BB37" s="275" t="s">
        <v>190</v>
      </c>
      <c r="BC37" s="275" t="s">
        <v>8</v>
      </c>
      <c r="BD37" s="275" t="s">
        <v>191</v>
      </c>
      <c r="BE37" s="275" t="s">
        <v>192</v>
      </c>
      <c r="BF37" s="275" t="s">
        <v>193</v>
      </c>
      <c r="BG37" s="275" t="s">
        <v>194</v>
      </c>
      <c r="BH37" s="275" t="s">
        <v>195</v>
      </c>
      <c r="BI37" s="275" t="s">
        <v>196</v>
      </c>
      <c r="BJ37" s="415" t="s">
        <v>197</v>
      </c>
    </row>
    <row r="38" spans="2:62" ht="15.75">
      <c r="B38" s="238" t="s">
        <v>163</v>
      </c>
      <c r="C38" s="239">
        <f aca="true" t="shared" si="26" ref="C38:AH38">SUM(C39:C61)</f>
        <v>4008.141331275723</v>
      </c>
      <c r="D38" s="239">
        <f t="shared" si="26"/>
        <v>4008.141331275723</v>
      </c>
      <c r="E38" s="239">
        <f t="shared" si="26"/>
        <v>3000.1925814814813</v>
      </c>
      <c r="F38" s="239">
        <f t="shared" si="26"/>
        <v>2750.442222222222</v>
      </c>
      <c r="G38" s="239">
        <f t="shared" si="26"/>
        <v>1999.8141703703704</v>
      </c>
      <c r="H38" s="239">
        <f t="shared" si="26"/>
        <v>1999.8141703703704</v>
      </c>
      <c r="I38" s="239">
        <f t="shared" si="26"/>
        <v>1250.1287703703704</v>
      </c>
      <c r="J38" s="239">
        <f t="shared" si="26"/>
        <v>1250.1287703703704</v>
      </c>
      <c r="K38" s="239">
        <f t="shared" si="26"/>
        <v>7307.938271604939</v>
      </c>
      <c r="L38" s="239">
        <f t="shared" si="26"/>
        <v>9602.895061728395</v>
      </c>
      <c r="M38" s="239">
        <f t="shared" si="26"/>
        <v>9602.895061728395</v>
      </c>
      <c r="N38" s="239">
        <f t="shared" si="26"/>
        <v>9602.895061728395</v>
      </c>
      <c r="O38" s="287">
        <f t="shared" si="26"/>
        <v>16946.756790123458</v>
      </c>
      <c r="P38" s="239">
        <f t="shared" si="26"/>
        <v>16946.756790123458</v>
      </c>
      <c r="Q38" s="239">
        <f t="shared" si="26"/>
        <v>16946.756790123458</v>
      </c>
      <c r="R38" s="239">
        <f t="shared" si="26"/>
        <v>16946.756790123458</v>
      </c>
      <c r="S38" s="239">
        <f t="shared" si="26"/>
        <v>16946.756790123458</v>
      </c>
      <c r="T38" s="239">
        <f t="shared" si="26"/>
        <v>16946.756790123458</v>
      </c>
      <c r="U38" s="239">
        <f t="shared" si="26"/>
        <v>16946.756790123458</v>
      </c>
      <c r="V38" s="239">
        <f t="shared" si="26"/>
        <v>16946.756790123458</v>
      </c>
      <c r="W38" s="239">
        <f t="shared" si="26"/>
        <v>16946.756790123458</v>
      </c>
      <c r="X38" s="239">
        <f t="shared" si="26"/>
        <v>16946.756790123458</v>
      </c>
      <c r="Y38" s="239">
        <f t="shared" si="26"/>
        <v>16946.756790123458</v>
      </c>
      <c r="Z38" s="240">
        <f t="shared" si="26"/>
        <v>16946.756790123458</v>
      </c>
      <c r="AA38" s="287">
        <f t="shared" si="26"/>
        <v>29991.816975308637</v>
      </c>
      <c r="AB38" s="239">
        <f t="shared" si="26"/>
        <v>29991.816975308637</v>
      </c>
      <c r="AC38" s="239">
        <f t="shared" si="26"/>
        <v>29991.816975308637</v>
      </c>
      <c r="AD38" s="239">
        <f t="shared" si="26"/>
        <v>29991.816975308637</v>
      </c>
      <c r="AE38" s="239">
        <f t="shared" si="26"/>
        <v>29991.816975308637</v>
      </c>
      <c r="AF38" s="239">
        <f t="shared" si="26"/>
        <v>29991.816975308637</v>
      </c>
      <c r="AG38" s="239">
        <f t="shared" si="26"/>
        <v>29991.816975308637</v>
      </c>
      <c r="AH38" s="239">
        <f t="shared" si="26"/>
        <v>29991.816975308637</v>
      </c>
      <c r="AI38" s="239">
        <f aca="true" t="shared" si="27" ref="AI38:BJ38">SUM(AI39:AI61)</f>
        <v>29991.816975308637</v>
      </c>
      <c r="AJ38" s="239">
        <f t="shared" si="27"/>
        <v>29991.816975308637</v>
      </c>
      <c r="AK38" s="239">
        <f t="shared" si="27"/>
        <v>29991.816975308637</v>
      </c>
      <c r="AL38" s="240">
        <f t="shared" si="27"/>
        <v>29991.816975308637</v>
      </c>
      <c r="AM38" s="287">
        <f t="shared" si="27"/>
        <v>30668.239506172835</v>
      </c>
      <c r="AN38" s="239">
        <f t="shared" si="27"/>
        <v>30668.239506172835</v>
      </c>
      <c r="AO38" s="239">
        <f t="shared" si="27"/>
        <v>30668.239506172835</v>
      </c>
      <c r="AP38" s="239">
        <f t="shared" si="27"/>
        <v>30668.239506172835</v>
      </c>
      <c r="AQ38" s="239">
        <f t="shared" si="27"/>
        <v>30668.239506172835</v>
      </c>
      <c r="AR38" s="239">
        <f t="shared" si="27"/>
        <v>30668.239506172835</v>
      </c>
      <c r="AS38" s="239">
        <f t="shared" si="27"/>
        <v>30668.239506172835</v>
      </c>
      <c r="AT38" s="239">
        <f t="shared" si="27"/>
        <v>30668.239506172835</v>
      </c>
      <c r="AU38" s="239">
        <f t="shared" si="27"/>
        <v>30668.239506172835</v>
      </c>
      <c r="AV38" s="239">
        <f t="shared" si="27"/>
        <v>30668.239506172835</v>
      </c>
      <c r="AW38" s="239">
        <f t="shared" si="27"/>
        <v>30668.239506172835</v>
      </c>
      <c r="AX38" s="240">
        <f t="shared" si="27"/>
        <v>30668.239506172835</v>
      </c>
      <c r="AY38" s="287">
        <f t="shared" si="27"/>
        <v>36357.37345679012</v>
      </c>
      <c r="AZ38" s="239">
        <f t="shared" si="27"/>
        <v>36357.37345679012</v>
      </c>
      <c r="BA38" s="239">
        <f t="shared" si="27"/>
        <v>36357.37345679012</v>
      </c>
      <c r="BB38" s="239">
        <f t="shared" si="27"/>
        <v>36357.37345679012</v>
      </c>
      <c r="BC38" s="239">
        <f t="shared" si="27"/>
        <v>36357.37345679012</v>
      </c>
      <c r="BD38" s="239">
        <f t="shared" si="27"/>
        <v>36357.37345679012</v>
      </c>
      <c r="BE38" s="239">
        <f t="shared" si="27"/>
        <v>36357.37345679012</v>
      </c>
      <c r="BF38" s="239">
        <f t="shared" si="27"/>
        <v>36357.37345679012</v>
      </c>
      <c r="BG38" s="239">
        <f t="shared" si="27"/>
        <v>36357.37345679012</v>
      </c>
      <c r="BH38" s="239">
        <f t="shared" si="27"/>
        <v>36357.37345679012</v>
      </c>
      <c r="BI38" s="239">
        <f t="shared" si="27"/>
        <v>36357.37345679012</v>
      </c>
      <c r="BJ38" s="240">
        <f t="shared" si="27"/>
        <v>36357.37345679012</v>
      </c>
    </row>
    <row r="39" spans="2:62" ht="15.75">
      <c r="B39" s="215" t="str">
        <f aca="true" t="shared" si="28" ref="B39:B60">B11</f>
        <v>CEO</v>
      </c>
      <c r="C39" s="227">
        <f aca="true" t="shared" si="29" ref="C39:AH39">+C68+C97+C126</f>
        <v>1951.095061728398</v>
      </c>
      <c r="D39" s="227">
        <f t="shared" si="29"/>
        <v>1951.095061728398</v>
      </c>
      <c r="E39" s="227">
        <f t="shared" si="29"/>
        <v>927.8466</v>
      </c>
      <c r="F39" s="227">
        <f t="shared" si="29"/>
        <v>850.218</v>
      </c>
      <c r="G39" s="227">
        <f t="shared" si="29"/>
        <v>617.3322000000001</v>
      </c>
      <c r="H39" s="227">
        <f t="shared" si="29"/>
        <v>617.3322000000001</v>
      </c>
      <c r="I39" s="227">
        <f t="shared" si="29"/>
        <v>388.14300000000003</v>
      </c>
      <c r="J39" s="227">
        <f t="shared" si="29"/>
        <v>388.14300000000003</v>
      </c>
      <c r="K39" s="227">
        <f t="shared" si="29"/>
        <v>2259.0333333333333</v>
      </c>
      <c r="L39" s="227">
        <f t="shared" si="29"/>
        <v>2259.0333333333333</v>
      </c>
      <c r="M39" s="227">
        <f t="shared" si="29"/>
        <v>2259.0333333333333</v>
      </c>
      <c r="N39" s="227">
        <f t="shared" si="29"/>
        <v>2259.0333333333333</v>
      </c>
      <c r="O39" s="288">
        <f>(+O68+O97+O126)</f>
        <v>2259.0333333333333</v>
      </c>
      <c r="P39" s="227">
        <f t="shared" si="29"/>
        <v>2259.0333333333333</v>
      </c>
      <c r="Q39" s="227">
        <f t="shared" si="29"/>
        <v>2259.0333333333333</v>
      </c>
      <c r="R39" s="227">
        <f t="shared" si="29"/>
        <v>2259.0333333333333</v>
      </c>
      <c r="S39" s="227">
        <f t="shared" si="29"/>
        <v>2259.0333333333333</v>
      </c>
      <c r="T39" s="227">
        <f t="shared" si="29"/>
        <v>2259.0333333333333</v>
      </c>
      <c r="U39" s="227">
        <f t="shared" si="29"/>
        <v>2259.0333333333333</v>
      </c>
      <c r="V39" s="227">
        <f t="shared" si="29"/>
        <v>2259.0333333333333</v>
      </c>
      <c r="W39" s="227">
        <f t="shared" si="29"/>
        <v>2259.0333333333333</v>
      </c>
      <c r="X39" s="227">
        <f t="shared" si="29"/>
        <v>2259.0333333333333</v>
      </c>
      <c r="Y39" s="227">
        <f t="shared" si="29"/>
        <v>2259.0333333333333</v>
      </c>
      <c r="Z39" s="228">
        <f t="shared" si="29"/>
        <v>2259.0333333333333</v>
      </c>
      <c r="AA39" s="288">
        <f t="shared" si="29"/>
        <v>2567.0833333333335</v>
      </c>
      <c r="AB39" s="227">
        <f t="shared" si="29"/>
        <v>2567.0833333333335</v>
      </c>
      <c r="AC39" s="227">
        <f t="shared" si="29"/>
        <v>2567.0833333333335</v>
      </c>
      <c r="AD39" s="227">
        <f t="shared" si="29"/>
        <v>2567.0833333333335</v>
      </c>
      <c r="AE39" s="227">
        <f t="shared" si="29"/>
        <v>2567.0833333333335</v>
      </c>
      <c r="AF39" s="227">
        <f t="shared" si="29"/>
        <v>2567.0833333333335</v>
      </c>
      <c r="AG39" s="227">
        <f t="shared" si="29"/>
        <v>2567.0833333333335</v>
      </c>
      <c r="AH39" s="227">
        <f t="shared" si="29"/>
        <v>2567.0833333333335</v>
      </c>
      <c r="AI39" s="227">
        <f aca="true" t="shared" si="30" ref="AI39:BJ39">+AI68+AI97+AI126</f>
        <v>2567.0833333333335</v>
      </c>
      <c r="AJ39" s="227">
        <f t="shared" si="30"/>
        <v>2567.0833333333335</v>
      </c>
      <c r="AK39" s="227">
        <f t="shared" si="30"/>
        <v>2567.0833333333335</v>
      </c>
      <c r="AL39" s="228">
        <f t="shared" si="30"/>
        <v>2567.0833333333335</v>
      </c>
      <c r="AM39" s="288">
        <f t="shared" si="30"/>
        <v>2669.7666666666664</v>
      </c>
      <c r="AN39" s="227">
        <f t="shared" si="30"/>
        <v>2669.7666666666664</v>
      </c>
      <c r="AO39" s="227">
        <f t="shared" si="30"/>
        <v>2669.7666666666664</v>
      </c>
      <c r="AP39" s="227">
        <f t="shared" si="30"/>
        <v>2669.7666666666664</v>
      </c>
      <c r="AQ39" s="227">
        <f t="shared" si="30"/>
        <v>2669.7666666666664</v>
      </c>
      <c r="AR39" s="227">
        <f t="shared" si="30"/>
        <v>2669.7666666666664</v>
      </c>
      <c r="AS39" s="227">
        <f t="shared" si="30"/>
        <v>2669.7666666666664</v>
      </c>
      <c r="AT39" s="227">
        <f t="shared" si="30"/>
        <v>2669.7666666666664</v>
      </c>
      <c r="AU39" s="227">
        <f t="shared" si="30"/>
        <v>2669.7666666666664</v>
      </c>
      <c r="AV39" s="227">
        <f t="shared" si="30"/>
        <v>2669.7666666666664</v>
      </c>
      <c r="AW39" s="227">
        <f t="shared" si="30"/>
        <v>2669.7666666666664</v>
      </c>
      <c r="AX39" s="228">
        <f t="shared" si="30"/>
        <v>2669.7666666666664</v>
      </c>
      <c r="AY39" s="288">
        <f t="shared" si="30"/>
        <v>3080.5</v>
      </c>
      <c r="AZ39" s="227">
        <f t="shared" si="30"/>
        <v>3080.5</v>
      </c>
      <c r="BA39" s="227">
        <f t="shared" si="30"/>
        <v>3080.5</v>
      </c>
      <c r="BB39" s="227">
        <f t="shared" si="30"/>
        <v>3080.5</v>
      </c>
      <c r="BC39" s="227">
        <f t="shared" si="30"/>
        <v>3080.5</v>
      </c>
      <c r="BD39" s="227">
        <f t="shared" si="30"/>
        <v>3080.5</v>
      </c>
      <c r="BE39" s="227">
        <f t="shared" si="30"/>
        <v>3080.5</v>
      </c>
      <c r="BF39" s="227">
        <f t="shared" si="30"/>
        <v>3080.5</v>
      </c>
      <c r="BG39" s="227">
        <f t="shared" si="30"/>
        <v>3080.5</v>
      </c>
      <c r="BH39" s="227">
        <f t="shared" si="30"/>
        <v>3080.5</v>
      </c>
      <c r="BI39" s="227">
        <f t="shared" si="30"/>
        <v>3080.5</v>
      </c>
      <c r="BJ39" s="228">
        <f t="shared" si="30"/>
        <v>3080.5</v>
      </c>
    </row>
    <row r="40" spans="2:62" ht="15.75">
      <c r="B40" s="215" t="str">
        <f t="shared" si="28"/>
        <v>COO</v>
      </c>
      <c r="C40" s="227">
        <f>+C69+C98+C127</f>
        <v>1028.5231347736624</v>
      </c>
      <c r="D40" s="227">
        <f aca="true" t="shared" si="31" ref="D40:AH40">+D69+D98+D127</f>
        <v>1028.5231347736624</v>
      </c>
      <c r="E40" s="227">
        <f t="shared" si="31"/>
        <v>1036.8614777777777</v>
      </c>
      <c r="F40" s="227">
        <f t="shared" si="31"/>
        <v>950.1121111111111</v>
      </c>
      <c r="G40" s="227">
        <f t="shared" si="31"/>
        <v>691.2409851851852</v>
      </c>
      <c r="H40" s="227">
        <f t="shared" si="31"/>
        <v>691.2409851851852</v>
      </c>
      <c r="I40" s="227">
        <f t="shared" si="31"/>
        <v>430.9928851851852</v>
      </c>
      <c r="J40" s="227">
        <f t="shared" si="31"/>
        <v>430.9928851851852</v>
      </c>
      <c r="K40" s="227">
        <f t="shared" si="31"/>
        <v>2524.4524691358024</v>
      </c>
      <c r="L40" s="227">
        <f t="shared" si="31"/>
        <v>2524.4524691358024</v>
      </c>
      <c r="M40" s="227">
        <f t="shared" si="31"/>
        <v>2524.4524691358024</v>
      </c>
      <c r="N40" s="227">
        <f t="shared" si="31"/>
        <v>2524.4524691358024</v>
      </c>
      <c r="O40" s="288">
        <f>+(O69+O98+O127)</f>
        <v>2524.4524691358024</v>
      </c>
      <c r="P40" s="227">
        <f t="shared" si="31"/>
        <v>2524.4524691358024</v>
      </c>
      <c r="Q40" s="227">
        <f t="shared" si="31"/>
        <v>2524.4524691358024</v>
      </c>
      <c r="R40" s="227">
        <f t="shared" si="31"/>
        <v>2524.4524691358024</v>
      </c>
      <c r="S40" s="227">
        <f t="shared" si="31"/>
        <v>2524.4524691358024</v>
      </c>
      <c r="T40" s="227">
        <f t="shared" si="31"/>
        <v>2524.4524691358024</v>
      </c>
      <c r="U40" s="227">
        <f t="shared" si="31"/>
        <v>2524.4524691358024</v>
      </c>
      <c r="V40" s="227">
        <f t="shared" si="31"/>
        <v>2524.4524691358024</v>
      </c>
      <c r="W40" s="227">
        <f t="shared" si="31"/>
        <v>2524.4524691358024</v>
      </c>
      <c r="X40" s="227">
        <f t="shared" si="31"/>
        <v>2524.4524691358024</v>
      </c>
      <c r="Y40" s="227">
        <f t="shared" si="31"/>
        <v>2524.4524691358024</v>
      </c>
      <c r="Z40" s="228">
        <f t="shared" si="31"/>
        <v>2524.4524691358024</v>
      </c>
      <c r="AA40" s="288">
        <f t="shared" si="31"/>
        <v>2868.6959876543215</v>
      </c>
      <c r="AB40" s="227">
        <f t="shared" si="31"/>
        <v>2868.6959876543215</v>
      </c>
      <c r="AC40" s="227">
        <f t="shared" si="31"/>
        <v>2868.6959876543215</v>
      </c>
      <c r="AD40" s="227">
        <f t="shared" si="31"/>
        <v>2868.6959876543215</v>
      </c>
      <c r="AE40" s="227">
        <f t="shared" si="31"/>
        <v>2868.6959876543215</v>
      </c>
      <c r="AF40" s="227">
        <f t="shared" si="31"/>
        <v>2868.6959876543215</v>
      </c>
      <c r="AG40" s="227">
        <f t="shared" si="31"/>
        <v>2868.6959876543215</v>
      </c>
      <c r="AH40" s="227">
        <f t="shared" si="31"/>
        <v>2868.6959876543215</v>
      </c>
      <c r="AI40" s="227">
        <f aca="true" t="shared" si="32" ref="AI40:BJ40">+AI69+AI98+AI127</f>
        <v>2868.6959876543215</v>
      </c>
      <c r="AJ40" s="227">
        <f t="shared" si="32"/>
        <v>2868.6959876543215</v>
      </c>
      <c r="AK40" s="227">
        <f t="shared" si="32"/>
        <v>2868.6959876543215</v>
      </c>
      <c r="AL40" s="228">
        <f t="shared" si="32"/>
        <v>2868.6959876543215</v>
      </c>
      <c r="AM40" s="288">
        <f t="shared" si="32"/>
        <v>2983.4438271604936</v>
      </c>
      <c r="AN40" s="227">
        <f t="shared" si="32"/>
        <v>2983.4438271604936</v>
      </c>
      <c r="AO40" s="227">
        <f t="shared" si="32"/>
        <v>2983.4438271604936</v>
      </c>
      <c r="AP40" s="227">
        <f t="shared" si="32"/>
        <v>2983.4438271604936</v>
      </c>
      <c r="AQ40" s="227">
        <f t="shared" si="32"/>
        <v>2983.4438271604936</v>
      </c>
      <c r="AR40" s="227">
        <f t="shared" si="32"/>
        <v>2983.4438271604936</v>
      </c>
      <c r="AS40" s="227">
        <f t="shared" si="32"/>
        <v>2983.4438271604936</v>
      </c>
      <c r="AT40" s="227">
        <f t="shared" si="32"/>
        <v>2983.4438271604936</v>
      </c>
      <c r="AU40" s="227">
        <f t="shared" si="32"/>
        <v>2983.4438271604936</v>
      </c>
      <c r="AV40" s="227">
        <f t="shared" si="32"/>
        <v>2983.4438271604936</v>
      </c>
      <c r="AW40" s="227">
        <f t="shared" si="32"/>
        <v>2983.4438271604936</v>
      </c>
      <c r="AX40" s="228">
        <f t="shared" si="32"/>
        <v>2983.4438271604936</v>
      </c>
      <c r="AY40" s="288">
        <f t="shared" si="32"/>
        <v>3442.435185185185</v>
      </c>
      <c r="AZ40" s="227">
        <f t="shared" si="32"/>
        <v>3442.435185185185</v>
      </c>
      <c r="BA40" s="227">
        <f t="shared" si="32"/>
        <v>3442.435185185185</v>
      </c>
      <c r="BB40" s="227">
        <f t="shared" si="32"/>
        <v>3442.435185185185</v>
      </c>
      <c r="BC40" s="227">
        <f t="shared" si="32"/>
        <v>3442.435185185185</v>
      </c>
      <c r="BD40" s="227">
        <f t="shared" si="32"/>
        <v>3442.435185185185</v>
      </c>
      <c r="BE40" s="227">
        <f t="shared" si="32"/>
        <v>3442.435185185185</v>
      </c>
      <c r="BF40" s="227">
        <f t="shared" si="32"/>
        <v>3442.435185185185</v>
      </c>
      <c r="BG40" s="227">
        <f t="shared" si="32"/>
        <v>3442.435185185185</v>
      </c>
      <c r="BH40" s="227">
        <f t="shared" si="32"/>
        <v>3442.435185185185</v>
      </c>
      <c r="BI40" s="227">
        <f t="shared" si="32"/>
        <v>3442.435185185185</v>
      </c>
      <c r="BJ40" s="228">
        <f t="shared" si="32"/>
        <v>3442.435185185185</v>
      </c>
    </row>
    <row r="41" spans="2:62" ht="15.75">
      <c r="B41" s="215" t="str">
        <f t="shared" si="28"/>
        <v>CFO</v>
      </c>
      <c r="C41" s="227">
        <f aca="true" t="shared" si="33" ref="C41:AH41">+C70+C99+C128</f>
        <v>1028.5231347736624</v>
      </c>
      <c r="D41" s="227">
        <f t="shared" si="33"/>
        <v>1028.5231347736624</v>
      </c>
      <c r="E41" s="227">
        <f t="shared" si="33"/>
        <v>1035.4845037037037</v>
      </c>
      <c r="F41" s="227">
        <f t="shared" si="33"/>
        <v>950.1121111111111</v>
      </c>
      <c r="G41" s="227">
        <f t="shared" si="33"/>
        <v>691.2409851851852</v>
      </c>
      <c r="H41" s="227">
        <f t="shared" si="33"/>
        <v>691.2409851851852</v>
      </c>
      <c r="I41" s="227">
        <f t="shared" si="33"/>
        <v>430.9928851851852</v>
      </c>
      <c r="J41" s="227">
        <f t="shared" si="33"/>
        <v>430.9928851851852</v>
      </c>
      <c r="K41" s="227">
        <f t="shared" si="33"/>
        <v>2524.4524691358024</v>
      </c>
      <c r="L41" s="227">
        <f t="shared" si="33"/>
        <v>2524.4524691358024</v>
      </c>
      <c r="M41" s="227">
        <f t="shared" si="33"/>
        <v>2524.4524691358024</v>
      </c>
      <c r="N41" s="227">
        <f t="shared" si="33"/>
        <v>2524.4524691358024</v>
      </c>
      <c r="O41" s="288">
        <f t="shared" si="33"/>
        <v>2524.4524691358024</v>
      </c>
      <c r="P41" s="227">
        <f t="shared" si="33"/>
        <v>2524.4524691358024</v>
      </c>
      <c r="Q41" s="227">
        <f t="shared" si="33"/>
        <v>2524.4524691358024</v>
      </c>
      <c r="R41" s="227">
        <f t="shared" si="33"/>
        <v>2524.4524691358024</v>
      </c>
      <c r="S41" s="227">
        <f t="shared" si="33"/>
        <v>2524.4524691358024</v>
      </c>
      <c r="T41" s="227">
        <f t="shared" si="33"/>
        <v>2524.4524691358024</v>
      </c>
      <c r="U41" s="227">
        <f t="shared" si="33"/>
        <v>2524.4524691358024</v>
      </c>
      <c r="V41" s="227">
        <f t="shared" si="33"/>
        <v>2524.4524691358024</v>
      </c>
      <c r="W41" s="227">
        <f t="shared" si="33"/>
        <v>2524.4524691358024</v>
      </c>
      <c r="X41" s="227">
        <f t="shared" si="33"/>
        <v>2524.4524691358024</v>
      </c>
      <c r="Y41" s="227">
        <f t="shared" si="33"/>
        <v>2524.4524691358024</v>
      </c>
      <c r="Z41" s="228">
        <f t="shared" si="33"/>
        <v>2524.4524691358024</v>
      </c>
      <c r="AA41" s="288">
        <f t="shared" si="33"/>
        <v>2524.4524691358024</v>
      </c>
      <c r="AB41" s="227">
        <f t="shared" si="33"/>
        <v>2524.4524691358024</v>
      </c>
      <c r="AC41" s="227">
        <f t="shared" si="33"/>
        <v>2524.4524691358024</v>
      </c>
      <c r="AD41" s="227">
        <f t="shared" si="33"/>
        <v>2524.4524691358024</v>
      </c>
      <c r="AE41" s="227">
        <f t="shared" si="33"/>
        <v>2524.4524691358024</v>
      </c>
      <c r="AF41" s="227">
        <f t="shared" si="33"/>
        <v>2524.4524691358024</v>
      </c>
      <c r="AG41" s="227">
        <f t="shared" si="33"/>
        <v>2524.4524691358024</v>
      </c>
      <c r="AH41" s="227">
        <f t="shared" si="33"/>
        <v>2524.4524691358024</v>
      </c>
      <c r="AI41" s="227">
        <f aca="true" t="shared" si="34" ref="AI41:BJ41">+AI70+AI99+AI128</f>
        <v>2524.4524691358024</v>
      </c>
      <c r="AJ41" s="227">
        <f t="shared" si="34"/>
        <v>2524.4524691358024</v>
      </c>
      <c r="AK41" s="227">
        <f t="shared" si="34"/>
        <v>2524.4524691358024</v>
      </c>
      <c r="AL41" s="228">
        <f t="shared" si="34"/>
        <v>2524.4524691358024</v>
      </c>
      <c r="AM41" s="288">
        <f t="shared" si="34"/>
        <v>2753.948148148148</v>
      </c>
      <c r="AN41" s="227">
        <f t="shared" si="34"/>
        <v>2753.948148148148</v>
      </c>
      <c r="AO41" s="227">
        <f t="shared" si="34"/>
        <v>2753.948148148148</v>
      </c>
      <c r="AP41" s="227">
        <f t="shared" si="34"/>
        <v>2753.948148148148</v>
      </c>
      <c r="AQ41" s="227">
        <f t="shared" si="34"/>
        <v>2753.948148148148</v>
      </c>
      <c r="AR41" s="227">
        <f t="shared" si="34"/>
        <v>2753.948148148148</v>
      </c>
      <c r="AS41" s="227">
        <f t="shared" si="34"/>
        <v>2753.948148148148</v>
      </c>
      <c r="AT41" s="227">
        <f t="shared" si="34"/>
        <v>2753.948148148148</v>
      </c>
      <c r="AU41" s="227">
        <f t="shared" si="34"/>
        <v>2753.948148148148</v>
      </c>
      <c r="AV41" s="227">
        <f t="shared" si="34"/>
        <v>2753.948148148148</v>
      </c>
      <c r="AW41" s="227">
        <f t="shared" si="34"/>
        <v>2753.948148148148</v>
      </c>
      <c r="AX41" s="228">
        <f t="shared" si="34"/>
        <v>2753.948148148148</v>
      </c>
      <c r="AY41" s="288">
        <f t="shared" si="34"/>
        <v>2753.948148148148</v>
      </c>
      <c r="AZ41" s="227">
        <f t="shared" si="34"/>
        <v>2753.948148148148</v>
      </c>
      <c r="BA41" s="227">
        <f t="shared" si="34"/>
        <v>2753.948148148148</v>
      </c>
      <c r="BB41" s="227">
        <f t="shared" si="34"/>
        <v>2753.948148148148</v>
      </c>
      <c r="BC41" s="227">
        <f t="shared" si="34"/>
        <v>2753.948148148148</v>
      </c>
      <c r="BD41" s="227">
        <f t="shared" si="34"/>
        <v>2753.948148148148</v>
      </c>
      <c r="BE41" s="227">
        <f t="shared" si="34"/>
        <v>2753.948148148148</v>
      </c>
      <c r="BF41" s="227">
        <f t="shared" si="34"/>
        <v>2753.948148148148</v>
      </c>
      <c r="BG41" s="227">
        <f t="shared" si="34"/>
        <v>2753.948148148148</v>
      </c>
      <c r="BH41" s="227">
        <f t="shared" si="34"/>
        <v>2753.948148148148</v>
      </c>
      <c r="BI41" s="227">
        <f t="shared" si="34"/>
        <v>2753.948148148148</v>
      </c>
      <c r="BJ41" s="228">
        <f t="shared" si="34"/>
        <v>2753.948148148148</v>
      </c>
    </row>
    <row r="42" spans="2:62" ht="15.75">
      <c r="B42" s="215" t="str">
        <f t="shared" si="28"/>
        <v>CTO</v>
      </c>
      <c r="C42" s="227">
        <f aca="true" t="shared" si="35" ref="C42:AH42">+C71+C100+C129</f>
        <v>0</v>
      </c>
      <c r="D42" s="227">
        <f t="shared" si="35"/>
        <v>0</v>
      </c>
      <c r="E42" s="227">
        <f t="shared" si="35"/>
        <v>0</v>
      </c>
      <c r="F42" s="227">
        <f t="shared" si="35"/>
        <v>0</v>
      </c>
      <c r="G42" s="227">
        <f t="shared" si="35"/>
        <v>0</v>
      </c>
      <c r="H42" s="227">
        <f t="shared" si="35"/>
        <v>0</v>
      </c>
      <c r="I42" s="227">
        <f t="shared" si="35"/>
        <v>0</v>
      </c>
      <c r="J42" s="227">
        <f t="shared" si="35"/>
        <v>0</v>
      </c>
      <c r="K42" s="227">
        <f t="shared" si="35"/>
        <v>0</v>
      </c>
      <c r="L42" s="227">
        <f t="shared" si="35"/>
        <v>0</v>
      </c>
      <c r="M42" s="227">
        <f t="shared" si="35"/>
        <v>0</v>
      </c>
      <c r="N42" s="227">
        <f t="shared" si="35"/>
        <v>0</v>
      </c>
      <c r="O42" s="288">
        <f t="shared" si="35"/>
        <v>0</v>
      </c>
      <c r="P42" s="227">
        <f t="shared" si="35"/>
        <v>0</v>
      </c>
      <c r="Q42" s="227">
        <f t="shared" si="35"/>
        <v>0</v>
      </c>
      <c r="R42" s="227">
        <f t="shared" si="35"/>
        <v>0</v>
      </c>
      <c r="S42" s="227">
        <f t="shared" si="35"/>
        <v>0</v>
      </c>
      <c r="T42" s="227">
        <f t="shared" si="35"/>
        <v>0</v>
      </c>
      <c r="U42" s="227">
        <f t="shared" si="35"/>
        <v>0</v>
      </c>
      <c r="V42" s="227">
        <f t="shared" si="35"/>
        <v>0</v>
      </c>
      <c r="W42" s="227">
        <f t="shared" si="35"/>
        <v>0</v>
      </c>
      <c r="X42" s="227">
        <f t="shared" si="35"/>
        <v>0</v>
      </c>
      <c r="Y42" s="227">
        <f t="shared" si="35"/>
        <v>0</v>
      </c>
      <c r="Z42" s="228">
        <f t="shared" si="35"/>
        <v>0</v>
      </c>
      <c r="AA42" s="288">
        <f t="shared" si="35"/>
        <v>2524.4524691358024</v>
      </c>
      <c r="AB42" s="227">
        <f t="shared" si="35"/>
        <v>2524.4524691358024</v>
      </c>
      <c r="AC42" s="227">
        <f t="shared" si="35"/>
        <v>2524.4524691358024</v>
      </c>
      <c r="AD42" s="227">
        <f t="shared" si="35"/>
        <v>2524.4524691358024</v>
      </c>
      <c r="AE42" s="227">
        <f t="shared" si="35"/>
        <v>2524.4524691358024</v>
      </c>
      <c r="AF42" s="227">
        <f t="shared" si="35"/>
        <v>2524.4524691358024</v>
      </c>
      <c r="AG42" s="227">
        <f t="shared" si="35"/>
        <v>2524.4524691358024</v>
      </c>
      <c r="AH42" s="227">
        <f t="shared" si="35"/>
        <v>2524.4524691358024</v>
      </c>
      <c r="AI42" s="227">
        <f aca="true" t="shared" si="36" ref="AI42:BJ42">+AI71+AI100+AI129</f>
        <v>2524.4524691358024</v>
      </c>
      <c r="AJ42" s="227">
        <f t="shared" si="36"/>
        <v>2524.4524691358024</v>
      </c>
      <c r="AK42" s="227">
        <f t="shared" si="36"/>
        <v>2524.4524691358024</v>
      </c>
      <c r="AL42" s="228">
        <f t="shared" si="36"/>
        <v>2524.4524691358024</v>
      </c>
      <c r="AM42" s="288">
        <f t="shared" si="36"/>
        <v>2753.948148148148</v>
      </c>
      <c r="AN42" s="227">
        <f t="shared" si="36"/>
        <v>2753.948148148148</v>
      </c>
      <c r="AO42" s="227">
        <f t="shared" si="36"/>
        <v>2753.948148148148</v>
      </c>
      <c r="AP42" s="227">
        <f t="shared" si="36"/>
        <v>2753.948148148148</v>
      </c>
      <c r="AQ42" s="227">
        <f t="shared" si="36"/>
        <v>2753.948148148148</v>
      </c>
      <c r="AR42" s="227">
        <f t="shared" si="36"/>
        <v>2753.948148148148</v>
      </c>
      <c r="AS42" s="227">
        <f t="shared" si="36"/>
        <v>2753.948148148148</v>
      </c>
      <c r="AT42" s="227">
        <f t="shared" si="36"/>
        <v>2753.948148148148</v>
      </c>
      <c r="AU42" s="227">
        <f t="shared" si="36"/>
        <v>2753.948148148148</v>
      </c>
      <c r="AV42" s="227">
        <f t="shared" si="36"/>
        <v>2753.948148148148</v>
      </c>
      <c r="AW42" s="227">
        <f t="shared" si="36"/>
        <v>2753.948148148148</v>
      </c>
      <c r="AX42" s="228">
        <f t="shared" si="36"/>
        <v>2753.948148148148</v>
      </c>
      <c r="AY42" s="288">
        <f t="shared" si="36"/>
        <v>2753.948148148148</v>
      </c>
      <c r="AZ42" s="227">
        <f t="shared" si="36"/>
        <v>2753.948148148148</v>
      </c>
      <c r="BA42" s="227">
        <f t="shared" si="36"/>
        <v>2753.948148148148</v>
      </c>
      <c r="BB42" s="227">
        <f t="shared" si="36"/>
        <v>2753.948148148148</v>
      </c>
      <c r="BC42" s="227">
        <f t="shared" si="36"/>
        <v>2753.948148148148</v>
      </c>
      <c r="BD42" s="227">
        <f t="shared" si="36"/>
        <v>2753.948148148148</v>
      </c>
      <c r="BE42" s="227">
        <f t="shared" si="36"/>
        <v>2753.948148148148</v>
      </c>
      <c r="BF42" s="227">
        <f t="shared" si="36"/>
        <v>2753.948148148148</v>
      </c>
      <c r="BG42" s="227">
        <f t="shared" si="36"/>
        <v>2753.948148148148</v>
      </c>
      <c r="BH42" s="227">
        <f t="shared" si="36"/>
        <v>2753.948148148148</v>
      </c>
      <c r="BI42" s="227">
        <f t="shared" si="36"/>
        <v>2753.948148148148</v>
      </c>
      <c r="BJ42" s="228">
        <f t="shared" si="36"/>
        <v>2753.948148148148</v>
      </c>
    </row>
    <row r="43" spans="2:62" ht="15.75">
      <c r="B43" s="215" t="str">
        <f t="shared" si="28"/>
        <v>Sales Manager</v>
      </c>
      <c r="C43" s="227">
        <f aca="true" t="shared" si="37" ref="C43:AH43">+C72+C101+C130</f>
        <v>0</v>
      </c>
      <c r="D43" s="227">
        <f t="shared" si="37"/>
        <v>0</v>
      </c>
      <c r="E43" s="227">
        <f t="shared" si="37"/>
        <v>0</v>
      </c>
      <c r="F43" s="227">
        <f t="shared" si="37"/>
        <v>0</v>
      </c>
      <c r="G43" s="227">
        <f t="shared" si="37"/>
        <v>0</v>
      </c>
      <c r="H43" s="227">
        <f t="shared" si="37"/>
        <v>0</v>
      </c>
      <c r="I43" s="227">
        <f t="shared" si="37"/>
        <v>0</v>
      </c>
      <c r="J43" s="227">
        <f t="shared" si="37"/>
        <v>0</v>
      </c>
      <c r="K43" s="227">
        <f t="shared" si="37"/>
        <v>0</v>
      </c>
      <c r="L43" s="227">
        <f t="shared" si="37"/>
        <v>0</v>
      </c>
      <c r="M43" s="227">
        <f t="shared" si="37"/>
        <v>0</v>
      </c>
      <c r="N43" s="227">
        <f t="shared" si="37"/>
        <v>0</v>
      </c>
      <c r="O43" s="288">
        <f t="shared" si="37"/>
        <v>0</v>
      </c>
      <c r="P43" s="227">
        <f t="shared" si="37"/>
        <v>0</v>
      </c>
      <c r="Q43" s="227">
        <f t="shared" si="37"/>
        <v>0</v>
      </c>
      <c r="R43" s="227">
        <f t="shared" si="37"/>
        <v>0</v>
      </c>
      <c r="S43" s="227">
        <f t="shared" si="37"/>
        <v>0</v>
      </c>
      <c r="T43" s="227">
        <f t="shared" si="37"/>
        <v>0</v>
      </c>
      <c r="U43" s="227">
        <f t="shared" si="37"/>
        <v>0</v>
      </c>
      <c r="V43" s="227">
        <f t="shared" si="37"/>
        <v>0</v>
      </c>
      <c r="W43" s="227">
        <f t="shared" si="37"/>
        <v>0</v>
      </c>
      <c r="X43" s="227">
        <f t="shared" si="37"/>
        <v>0</v>
      </c>
      <c r="Y43" s="227">
        <f t="shared" si="37"/>
        <v>0</v>
      </c>
      <c r="Z43" s="228">
        <f t="shared" si="37"/>
        <v>0</v>
      </c>
      <c r="AA43" s="288">
        <f t="shared" si="37"/>
        <v>2524.4524691358024</v>
      </c>
      <c r="AB43" s="227">
        <f t="shared" si="37"/>
        <v>2524.4524691358024</v>
      </c>
      <c r="AC43" s="227">
        <f t="shared" si="37"/>
        <v>2524.4524691358024</v>
      </c>
      <c r="AD43" s="227">
        <f t="shared" si="37"/>
        <v>2524.4524691358024</v>
      </c>
      <c r="AE43" s="227">
        <f t="shared" si="37"/>
        <v>2524.4524691358024</v>
      </c>
      <c r="AF43" s="227">
        <f t="shared" si="37"/>
        <v>2524.4524691358024</v>
      </c>
      <c r="AG43" s="227">
        <f t="shared" si="37"/>
        <v>2524.4524691358024</v>
      </c>
      <c r="AH43" s="227">
        <f t="shared" si="37"/>
        <v>2524.4524691358024</v>
      </c>
      <c r="AI43" s="227">
        <f aca="true" t="shared" si="38" ref="AI43:BJ43">+AI72+AI101+AI130</f>
        <v>2524.4524691358024</v>
      </c>
      <c r="AJ43" s="227">
        <f t="shared" si="38"/>
        <v>2524.4524691358024</v>
      </c>
      <c r="AK43" s="227">
        <f t="shared" si="38"/>
        <v>2524.4524691358024</v>
      </c>
      <c r="AL43" s="228">
        <f t="shared" si="38"/>
        <v>2524.4524691358024</v>
      </c>
      <c r="AM43" s="288">
        <f t="shared" si="38"/>
        <v>2524.4524691358024</v>
      </c>
      <c r="AN43" s="227">
        <f t="shared" si="38"/>
        <v>2524.4524691358024</v>
      </c>
      <c r="AO43" s="227">
        <f t="shared" si="38"/>
        <v>2524.4524691358024</v>
      </c>
      <c r="AP43" s="227">
        <f t="shared" si="38"/>
        <v>2524.4524691358024</v>
      </c>
      <c r="AQ43" s="227">
        <f t="shared" si="38"/>
        <v>2524.4524691358024</v>
      </c>
      <c r="AR43" s="227">
        <f t="shared" si="38"/>
        <v>2524.4524691358024</v>
      </c>
      <c r="AS43" s="227">
        <f t="shared" si="38"/>
        <v>2524.4524691358024</v>
      </c>
      <c r="AT43" s="227">
        <f t="shared" si="38"/>
        <v>2524.4524691358024</v>
      </c>
      <c r="AU43" s="227">
        <f t="shared" si="38"/>
        <v>2524.4524691358024</v>
      </c>
      <c r="AV43" s="227">
        <f t="shared" si="38"/>
        <v>2524.4524691358024</v>
      </c>
      <c r="AW43" s="227">
        <f t="shared" si="38"/>
        <v>2524.4524691358024</v>
      </c>
      <c r="AX43" s="228">
        <f t="shared" si="38"/>
        <v>2524.4524691358024</v>
      </c>
      <c r="AY43" s="288">
        <f t="shared" si="38"/>
        <v>2524.4524691358024</v>
      </c>
      <c r="AZ43" s="227">
        <f t="shared" si="38"/>
        <v>2524.4524691358024</v>
      </c>
      <c r="BA43" s="227">
        <f t="shared" si="38"/>
        <v>2524.4524691358024</v>
      </c>
      <c r="BB43" s="227">
        <f t="shared" si="38"/>
        <v>2524.4524691358024</v>
      </c>
      <c r="BC43" s="227">
        <f t="shared" si="38"/>
        <v>2524.4524691358024</v>
      </c>
      <c r="BD43" s="227">
        <f t="shared" si="38"/>
        <v>2524.4524691358024</v>
      </c>
      <c r="BE43" s="227">
        <f t="shared" si="38"/>
        <v>2524.4524691358024</v>
      </c>
      <c r="BF43" s="227">
        <f t="shared" si="38"/>
        <v>2524.4524691358024</v>
      </c>
      <c r="BG43" s="227">
        <f t="shared" si="38"/>
        <v>2524.4524691358024</v>
      </c>
      <c r="BH43" s="227">
        <f t="shared" si="38"/>
        <v>2524.4524691358024</v>
      </c>
      <c r="BI43" s="227">
        <f t="shared" si="38"/>
        <v>2524.4524691358024</v>
      </c>
      <c r="BJ43" s="228">
        <f t="shared" si="38"/>
        <v>2524.4524691358024</v>
      </c>
    </row>
    <row r="44" spans="2:62" ht="15.75">
      <c r="B44" s="215" t="str">
        <f t="shared" si="28"/>
        <v>Business Developer</v>
      </c>
      <c r="C44" s="227">
        <f aca="true" t="shared" si="39" ref="C44:AH44">+C73+C102+C131</f>
        <v>0</v>
      </c>
      <c r="D44" s="227">
        <f t="shared" si="39"/>
        <v>0</v>
      </c>
      <c r="E44" s="227">
        <f t="shared" si="39"/>
        <v>0</v>
      </c>
      <c r="F44" s="227">
        <f t="shared" si="39"/>
        <v>0</v>
      </c>
      <c r="G44" s="227">
        <f t="shared" si="39"/>
        <v>0</v>
      </c>
      <c r="H44" s="227">
        <f t="shared" si="39"/>
        <v>0</v>
      </c>
      <c r="I44" s="227">
        <f t="shared" si="39"/>
        <v>0</v>
      </c>
      <c r="J44" s="227">
        <f t="shared" si="39"/>
        <v>0</v>
      </c>
      <c r="K44" s="227">
        <f t="shared" si="39"/>
        <v>0</v>
      </c>
      <c r="L44" s="227">
        <f t="shared" si="39"/>
        <v>0</v>
      </c>
      <c r="M44" s="227">
        <f t="shared" si="39"/>
        <v>0</v>
      </c>
      <c r="N44" s="227">
        <f t="shared" si="39"/>
        <v>0</v>
      </c>
      <c r="O44" s="288">
        <f t="shared" si="39"/>
        <v>2524.4524691358024</v>
      </c>
      <c r="P44" s="227">
        <f t="shared" si="39"/>
        <v>2524.4524691358024</v>
      </c>
      <c r="Q44" s="227">
        <f t="shared" si="39"/>
        <v>2524.4524691358024</v>
      </c>
      <c r="R44" s="227">
        <f t="shared" si="39"/>
        <v>2524.4524691358024</v>
      </c>
      <c r="S44" s="227">
        <f t="shared" si="39"/>
        <v>2524.4524691358024</v>
      </c>
      <c r="T44" s="227">
        <f t="shared" si="39"/>
        <v>2524.4524691358024</v>
      </c>
      <c r="U44" s="227">
        <f t="shared" si="39"/>
        <v>2524.4524691358024</v>
      </c>
      <c r="V44" s="227">
        <f t="shared" si="39"/>
        <v>2524.4524691358024</v>
      </c>
      <c r="W44" s="227">
        <f t="shared" si="39"/>
        <v>2524.4524691358024</v>
      </c>
      <c r="X44" s="227">
        <f t="shared" si="39"/>
        <v>2524.4524691358024</v>
      </c>
      <c r="Y44" s="227">
        <f t="shared" si="39"/>
        <v>2524.4524691358024</v>
      </c>
      <c r="Z44" s="228">
        <f t="shared" si="39"/>
        <v>2524.4524691358024</v>
      </c>
      <c r="AA44" s="288">
        <f t="shared" si="39"/>
        <v>2524.4524691358024</v>
      </c>
      <c r="AB44" s="227">
        <f t="shared" si="39"/>
        <v>2524.4524691358024</v>
      </c>
      <c r="AC44" s="227">
        <f t="shared" si="39"/>
        <v>2524.4524691358024</v>
      </c>
      <c r="AD44" s="227">
        <f t="shared" si="39"/>
        <v>2524.4524691358024</v>
      </c>
      <c r="AE44" s="227">
        <f t="shared" si="39"/>
        <v>2524.4524691358024</v>
      </c>
      <c r="AF44" s="227">
        <f t="shared" si="39"/>
        <v>2524.4524691358024</v>
      </c>
      <c r="AG44" s="227">
        <f t="shared" si="39"/>
        <v>2524.4524691358024</v>
      </c>
      <c r="AH44" s="227">
        <f t="shared" si="39"/>
        <v>2524.4524691358024</v>
      </c>
      <c r="AI44" s="227">
        <f aca="true" t="shared" si="40" ref="AI44:BJ44">+AI73+AI102+AI131</f>
        <v>2524.4524691358024</v>
      </c>
      <c r="AJ44" s="227">
        <f t="shared" si="40"/>
        <v>2524.4524691358024</v>
      </c>
      <c r="AK44" s="227">
        <f t="shared" si="40"/>
        <v>2524.4524691358024</v>
      </c>
      <c r="AL44" s="228">
        <f t="shared" si="40"/>
        <v>2524.4524691358024</v>
      </c>
      <c r="AM44" s="288">
        <f t="shared" si="40"/>
        <v>2524.4524691358024</v>
      </c>
      <c r="AN44" s="227">
        <f t="shared" si="40"/>
        <v>2524.4524691358024</v>
      </c>
      <c r="AO44" s="227">
        <f t="shared" si="40"/>
        <v>2524.4524691358024</v>
      </c>
      <c r="AP44" s="227">
        <f t="shared" si="40"/>
        <v>2524.4524691358024</v>
      </c>
      <c r="AQ44" s="227">
        <f t="shared" si="40"/>
        <v>2524.4524691358024</v>
      </c>
      <c r="AR44" s="227">
        <f t="shared" si="40"/>
        <v>2524.4524691358024</v>
      </c>
      <c r="AS44" s="227">
        <f t="shared" si="40"/>
        <v>2524.4524691358024</v>
      </c>
      <c r="AT44" s="227">
        <f t="shared" si="40"/>
        <v>2524.4524691358024</v>
      </c>
      <c r="AU44" s="227">
        <f t="shared" si="40"/>
        <v>2524.4524691358024</v>
      </c>
      <c r="AV44" s="227">
        <f t="shared" si="40"/>
        <v>2524.4524691358024</v>
      </c>
      <c r="AW44" s="227">
        <f t="shared" si="40"/>
        <v>2524.4524691358024</v>
      </c>
      <c r="AX44" s="228">
        <f t="shared" si="40"/>
        <v>2524.4524691358024</v>
      </c>
      <c r="AY44" s="288">
        <f t="shared" si="40"/>
        <v>2524.4524691358024</v>
      </c>
      <c r="AZ44" s="227">
        <f t="shared" si="40"/>
        <v>2524.4524691358024</v>
      </c>
      <c r="BA44" s="227">
        <f t="shared" si="40"/>
        <v>2524.4524691358024</v>
      </c>
      <c r="BB44" s="227">
        <f t="shared" si="40"/>
        <v>2524.4524691358024</v>
      </c>
      <c r="BC44" s="227">
        <f t="shared" si="40"/>
        <v>2524.4524691358024</v>
      </c>
      <c r="BD44" s="227">
        <f t="shared" si="40"/>
        <v>2524.4524691358024</v>
      </c>
      <c r="BE44" s="227">
        <f t="shared" si="40"/>
        <v>2524.4524691358024</v>
      </c>
      <c r="BF44" s="227">
        <f t="shared" si="40"/>
        <v>2524.4524691358024</v>
      </c>
      <c r="BG44" s="227">
        <f t="shared" si="40"/>
        <v>2524.4524691358024</v>
      </c>
      <c r="BH44" s="227">
        <f t="shared" si="40"/>
        <v>2524.4524691358024</v>
      </c>
      <c r="BI44" s="227">
        <f t="shared" si="40"/>
        <v>2524.4524691358024</v>
      </c>
      <c r="BJ44" s="228">
        <f t="shared" si="40"/>
        <v>2524.4524691358024</v>
      </c>
    </row>
    <row r="45" spans="2:62" ht="15.75">
      <c r="B45" s="215" t="str">
        <f t="shared" si="28"/>
        <v>Account Manager</v>
      </c>
      <c r="C45" s="227">
        <f aca="true" t="shared" si="41" ref="C45:AH45">+C74+C103+C132</f>
        <v>0</v>
      </c>
      <c r="D45" s="227">
        <f t="shared" si="41"/>
        <v>0</v>
      </c>
      <c r="E45" s="227">
        <f t="shared" si="41"/>
        <v>0</v>
      </c>
      <c r="F45" s="227">
        <f t="shared" si="41"/>
        <v>0</v>
      </c>
      <c r="G45" s="227">
        <f t="shared" si="41"/>
        <v>0</v>
      </c>
      <c r="H45" s="227">
        <f t="shared" si="41"/>
        <v>0</v>
      </c>
      <c r="I45" s="227">
        <f t="shared" si="41"/>
        <v>0</v>
      </c>
      <c r="J45" s="227">
        <f t="shared" si="41"/>
        <v>0</v>
      </c>
      <c r="K45" s="227">
        <f t="shared" si="41"/>
        <v>0</v>
      </c>
      <c r="L45" s="227">
        <f t="shared" si="41"/>
        <v>2294.956790123457</v>
      </c>
      <c r="M45" s="227">
        <f t="shared" si="41"/>
        <v>2294.956790123457</v>
      </c>
      <c r="N45" s="227">
        <f t="shared" si="41"/>
        <v>2294.956790123457</v>
      </c>
      <c r="O45" s="288">
        <f t="shared" si="41"/>
        <v>2524.4524691358024</v>
      </c>
      <c r="P45" s="227">
        <f t="shared" si="41"/>
        <v>2524.4524691358024</v>
      </c>
      <c r="Q45" s="227">
        <f t="shared" si="41"/>
        <v>2524.4524691358024</v>
      </c>
      <c r="R45" s="227">
        <f t="shared" si="41"/>
        <v>2524.4524691358024</v>
      </c>
      <c r="S45" s="227">
        <f t="shared" si="41"/>
        <v>2524.4524691358024</v>
      </c>
      <c r="T45" s="227">
        <f t="shared" si="41"/>
        <v>2524.4524691358024</v>
      </c>
      <c r="U45" s="227">
        <f t="shared" si="41"/>
        <v>2524.4524691358024</v>
      </c>
      <c r="V45" s="227">
        <f t="shared" si="41"/>
        <v>2524.4524691358024</v>
      </c>
      <c r="W45" s="227">
        <f t="shared" si="41"/>
        <v>2524.4524691358024</v>
      </c>
      <c r="X45" s="227">
        <f t="shared" si="41"/>
        <v>2524.4524691358024</v>
      </c>
      <c r="Y45" s="227">
        <f t="shared" si="41"/>
        <v>2524.4524691358024</v>
      </c>
      <c r="Z45" s="228">
        <f t="shared" si="41"/>
        <v>2524.4524691358024</v>
      </c>
      <c r="AA45" s="288">
        <f t="shared" si="41"/>
        <v>5048.904938271605</v>
      </c>
      <c r="AB45" s="227">
        <f t="shared" si="41"/>
        <v>5048.904938271605</v>
      </c>
      <c r="AC45" s="227">
        <f t="shared" si="41"/>
        <v>5048.904938271605</v>
      </c>
      <c r="AD45" s="227">
        <f t="shared" si="41"/>
        <v>5048.904938271605</v>
      </c>
      <c r="AE45" s="227">
        <f t="shared" si="41"/>
        <v>5048.904938271605</v>
      </c>
      <c r="AF45" s="227">
        <f t="shared" si="41"/>
        <v>5048.904938271605</v>
      </c>
      <c r="AG45" s="227">
        <f t="shared" si="41"/>
        <v>5048.904938271605</v>
      </c>
      <c r="AH45" s="227">
        <f t="shared" si="41"/>
        <v>5048.904938271605</v>
      </c>
      <c r="AI45" s="227">
        <f aca="true" t="shared" si="42" ref="AI45:BJ45">+AI74+AI103+AI132</f>
        <v>5048.904938271605</v>
      </c>
      <c r="AJ45" s="227">
        <f t="shared" si="42"/>
        <v>5048.904938271605</v>
      </c>
      <c r="AK45" s="227">
        <f t="shared" si="42"/>
        <v>5048.904938271605</v>
      </c>
      <c r="AL45" s="228">
        <f t="shared" si="42"/>
        <v>5048.904938271605</v>
      </c>
      <c r="AM45" s="288">
        <f t="shared" si="42"/>
        <v>5048.904938271605</v>
      </c>
      <c r="AN45" s="227">
        <f t="shared" si="42"/>
        <v>5048.904938271605</v>
      </c>
      <c r="AO45" s="227">
        <f t="shared" si="42"/>
        <v>5048.904938271605</v>
      </c>
      <c r="AP45" s="227">
        <f t="shared" si="42"/>
        <v>5048.904938271605</v>
      </c>
      <c r="AQ45" s="227">
        <f t="shared" si="42"/>
        <v>5048.904938271605</v>
      </c>
      <c r="AR45" s="227">
        <f t="shared" si="42"/>
        <v>5048.904938271605</v>
      </c>
      <c r="AS45" s="227">
        <f t="shared" si="42"/>
        <v>5048.904938271605</v>
      </c>
      <c r="AT45" s="227">
        <f t="shared" si="42"/>
        <v>5048.904938271605</v>
      </c>
      <c r="AU45" s="227">
        <f t="shared" si="42"/>
        <v>5048.904938271605</v>
      </c>
      <c r="AV45" s="227">
        <f t="shared" si="42"/>
        <v>5048.904938271605</v>
      </c>
      <c r="AW45" s="227">
        <f t="shared" si="42"/>
        <v>5048.904938271605</v>
      </c>
      <c r="AX45" s="228">
        <f t="shared" si="42"/>
        <v>5048.904938271605</v>
      </c>
      <c r="AY45" s="288">
        <f t="shared" si="42"/>
        <v>7573.357407407407</v>
      </c>
      <c r="AZ45" s="227">
        <f t="shared" si="42"/>
        <v>7573.357407407407</v>
      </c>
      <c r="BA45" s="227">
        <f t="shared" si="42"/>
        <v>7573.357407407407</v>
      </c>
      <c r="BB45" s="227">
        <f t="shared" si="42"/>
        <v>7573.357407407407</v>
      </c>
      <c r="BC45" s="227">
        <f t="shared" si="42"/>
        <v>7573.357407407407</v>
      </c>
      <c r="BD45" s="227">
        <f t="shared" si="42"/>
        <v>7573.357407407407</v>
      </c>
      <c r="BE45" s="227">
        <f t="shared" si="42"/>
        <v>7573.357407407407</v>
      </c>
      <c r="BF45" s="227">
        <f t="shared" si="42"/>
        <v>7573.357407407407</v>
      </c>
      <c r="BG45" s="227">
        <f t="shared" si="42"/>
        <v>7573.357407407407</v>
      </c>
      <c r="BH45" s="227">
        <f t="shared" si="42"/>
        <v>7573.357407407407</v>
      </c>
      <c r="BI45" s="227">
        <f t="shared" si="42"/>
        <v>7573.357407407407</v>
      </c>
      <c r="BJ45" s="228">
        <f t="shared" si="42"/>
        <v>7573.357407407407</v>
      </c>
    </row>
    <row r="46" spans="2:62" ht="15.75">
      <c r="B46" s="215" t="str">
        <f t="shared" si="28"/>
        <v>CMO</v>
      </c>
      <c r="C46" s="227">
        <f aca="true" t="shared" si="43" ref="C46:AH46">+C75+C104+C133</f>
        <v>0</v>
      </c>
      <c r="D46" s="227">
        <f t="shared" si="43"/>
        <v>0</v>
      </c>
      <c r="E46" s="227">
        <f t="shared" si="43"/>
        <v>0</v>
      </c>
      <c r="F46" s="227">
        <f t="shared" si="43"/>
        <v>0</v>
      </c>
      <c r="G46" s="227">
        <f t="shared" si="43"/>
        <v>0</v>
      </c>
      <c r="H46" s="227">
        <f t="shared" si="43"/>
        <v>0</v>
      </c>
      <c r="I46" s="227">
        <f t="shared" si="43"/>
        <v>0</v>
      </c>
      <c r="J46" s="227">
        <f t="shared" si="43"/>
        <v>0</v>
      </c>
      <c r="K46" s="227">
        <f t="shared" si="43"/>
        <v>0</v>
      </c>
      <c r="L46" s="227">
        <f t="shared" si="43"/>
        <v>0</v>
      </c>
      <c r="M46" s="227">
        <f t="shared" si="43"/>
        <v>0</v>
      </c>
      <c r="N46" s="227">
        <f t="shared" si="43"/>
        <v>0</v>
      </c>
      <c r="O46" s="288">
        <f t="shared" si="43"/>
        <v>2294.956790123457</v>
      </c>
      <c r="P46" s="227">
        <f t="shared" si="43"/>
        <v>2294.956790123457</v>
      </c>
      <c r="Q46" s="227">
        <f t="shared" si="43"/>
        <v>2294.956790123457</v>
      </c>
      <c r="R46" s="227">
        <f t="shared" si="43"/>
        <v>2294.956790123457</v>
      </c>
      <c r="S46" s="227">
        <f t="shared" si="43"/>
        <v>2294.956790123457</v>
      </c>
      <c r="T46" s="227">
        <f t="shared" si="43"/>
        <v>2294.956790123457</v>
      </c>
      <c r="U46" s="227">
        <f t="shared" si="43"/>
        <v>2294.956790123457</v>
      </c>
      <c r="V46" s="227">
        <f t="shared" si="43"/>
        <v>2294.956790123457</v>
      </c>
      <c r="W46" s="227">
        <f t="shared" si="43"/>
        <v>2294.956790123457</v>
      </c>
      <c r="X46" s="227">
        <f t="shared" si="43"/>
        <v>2294.956790123457</v>
      </c>
      <c r="Y46" s="227">
        <f t="shared" si="43"/>
        <v>2294.956790123457</v>
      </c>
      <c r="Z46" s="228">
        <f t="shared" si="43"/>
        <v>2294.956790123457</v>
      </c>
      <c r="AA46" s="288">
        <f t="shared" si="43"/>
        <v>2524.4524691358024</v>
      </c>
      <c r="AB46" s="227">
        <f t="shared" si="43"/>
        <v>2524.4524691358024</v>
      </c>
      <c r="AC46" s="227">
        <f t="shared" si="43"/>
        <v>2524.4524691358024</v>
      </c>
      <c r="AD46" s="227">
        <f t="shared" si="43"/>
        <v>2524.4524691358024</v>
      </c>
      <c r="AE46" s="227">
        <f t="shared" si="43"/>
        <v>2524.4524691358024</v>
      </c>
      <c r="AF46" s="227">
        <f t="shared" si="43"/>
        <v>2524.4524691358024</v>
      </c>
      <c r="AG46" s="227">
        <f t="shared" si="43"/>
        <v>2524.4524691358024</v>
      </c>
      <c r="AH46" s="227">
        <f t="shared" si="43"/>
        <v>2524.4524691358024</v>
      </c>
      <c r="AI46" s="227">
        <f aca="true" t="shared" si="44" ref="AI46:BJ46">+AI75+AI104+AI133</f>
        <v>2524.4524691358024</v>
      </c>
      <c r="AJ46" s="227">
        <f t="shared" si="44"/>
        <v>2524.4524691358024</v>
      </c>
      <c r="AK46" s="227">
        <f t="shared" si="44"/>
        <v>2524.4524691358024</v>
      </c>
      <c r="AL46" s="228">
        <f t="shared" si="44"/>
        <v>2524.4524691358024</v>
      </c>
      <c r="AM46" s="288">
        <f t="shared" si="44"/>
        <v>2524.4524691358024</v>
      </c>
      <c r="AN46" s="227">
        <f t="shared" si="44"/>
        <v>2524.4524691358024</v>
      </c>
      <c r="AO46" s="227">
        <f t="shared" si="44"/>
        <v>2524.4524691358024</v>
      </c>
      <c r="AP46" s="227">
        <f t="shared" si="44"/>
        <v>2524.4524691358024</v>
      </c>
      <c r="AQ46" s="227">
        <f t="shared" si="44"/>
        <v>2524.4524691358024</v>
      </c>
      <c r="AR46" s="227">
        <f t="shared" si="44"/>
        <v>2524.4524691358024</v>
      </c>
      <c r="AS46" s="227">
        <f t="shared" si="44"/>
        <v>2524.4524691358024</v>
      </c>
      <c r="AT46" s="227">
        <f t="shared" si="44"/>
        <v>2524.4524691358024</v>
      </c>
      <c r="AU46" s="227">
        <f t="shared" si="44"/>
        <v>2524.4524691358024</v>
      </c>
      <c r="AV46" s="227">
        <f t="shared" si="44"/>
        <v>2524.4524691358024</v>
      </c>
      <c r="AW46" s="227">
        <f t="shared" si="44"/>
        <v>2524.4524691358024</v>
      </c>
      <c r="AX46" s="228">
        <f t="shared" si="44"/>
        <v>2524.4524691358024</v>
      </c>
      <c r="AY46" s="288">
        <f t="shared" si="44"/>
        <v>2524.4524691358024</v>
      </c>
      <c r="AZ46" s="227">
        <f t="shared" si="44"/>
        <v>2524.4524691358024</v>
      </c>
      <c r="BA46" s="227">
        <f t="shared" si="44"/>
        <v>2524.4524691358024</v>
      </c>
      <c r="BB46" s="227">
        <f t="shared" si="44"/>
        <v>2524.4524691358024</v>
      </c>
      <c r="BC46" s="227">
        <f t="shared" si="44"/>
        <v>2524.4524691358024</v>
      </c>
      <c r="BD46" s="227">
        <f t="shared" si="44"/>
        <v>2524.4524691358024</v>
      </c>
      <c r="BE46" s="227">
        <f t="shared" si="44"/>
        <v>2524.4524691358024</v>
      </c>
      <c r="BF46" s="227">
        <f t="shared" si="44"/>
        <v>2524.4524691358024</v>
      </c>
      <c r="BG46" s="227">
        <f t="shared" si="44"/>
        <v>2524.4524691358024</v>
      </c>
      <c r="BH46" s="227">
        <f t="shared" si="44"/>
        <v>2524.4524691358024</v>
      </c>
      <c r="BI46" s="227">
        <f t="shared" si="44"/>
        <v>2524.4524691358024</v>
      </c>
      <c r="BJ46" s="228">
        <f t="shared" si="44"/>
        <v>2524.4524691358024</v>
      </c>
    </row>
    <row r="47" spans="2:62" ht="15.75">
      <c r="B47" s="215" t="str">
        <f t="shared" si="28"/>
        <v>Marketing Specialist</v>
      </c>
      <c r="C47" s="227">
        <f aca="true" t="shared" si="45" ref="C47:AH47">+C76+C105+C134</f>
        <v>0</v>
      </c>
      <c r="D47" s="227">
        <f t="shared" si="45"/>
        <v>0</v>
      </c>
      <c r="E47" s="227">
        <f t="shared" si="45"/>
        <v>0</v>
      </c>
      <c r="F47" s="227">
        <f t="shared" si="45"/>
        <v>0</v>
      </c>
      <c r="G47" s="227">
        <f t="shared" si="45"/>
        <v>0</v>
      </c>
      <c r="H47" s="227">
        <f t="shared" si="45"/>
        <v>0</v>
      </c>
      <c r="I47" s="227">
        <f t="shared" si="45"/>
        <v>0</v>
      </c>
      <c r="J47" s="227">
        <f t="shared" si="45"/>
        <v>0</v>
      </c>
      <c r="K47" s="227">
        <f t="shared" si="45"/>
        <v>0</v>
      </c>
      <c r="L47" s="227">
        <f t="shared" si="45"/>
        <v>0</v>
      </c>
      <c r="M47" s="227">
        <f t="shared" si="45"/>
        <v>0</v>
      </c>
      <c r="N47" s="227">
        <f t="shared" si="45"/>
        <v>0</v>
      </c>
      <c r="O47" s="288">
        <f t="shared" si="45"/>
        <v>0</v>
      </c>
      <c r="P47" s="227">
        <f t="shared" si="45"/>
        <v>0</v>
      </c>
      <c r="Q47" s="227">
        <f t="shared" si="45"/>
        <v>0</v>
      </c>
      <c r="R47" s="227">
        <f t="shared" si="45"/>
        <v>0</v>
      </c>
      <c r="S47" s="227">
        <f t="shared" si="45"/>
        <v>0</v>
      </c>
      <c r="T47" s="227">
        <f t="shared" si="45"/>
        <v>0</v>
      </c>
      <c r="U47" s="227">
        <f t="shared" si="45"/>
        <v>0</v>
      </c>
      <c r="V47" s="227">
        <f t="shared" si="45"/>
        <v>0</v>
      </c>
      <c r="W47" s="227">
        <f t="shared" si="45"/>
        <v>0</v>
      </c>
      <c r="X47" s="227">
        <f t="shared" si="45"/>
        <v>0</v>
      </c>
      <c r="Y47" s="227">
        <f t="shared" si="45"/>
        <v>0</v>
      </c>
      <c r="Z47" s="228">
        <f t="shared" si="45"/>
        <v>0</v>
      </c>
      <c r="AA47" s="288">
        <f t="shared" si="45"/>
        <v>2294.956790123457</v>
      </c>
      <c r="AB47" s="227">
        <f t="shared" si="45"/>
        <v>2294.956790123457</v>
      </c>
      <c r="AC47" s="227">
        <f t="shared" si="45"/>
        <v>2294.956790123457</v>
      </c>
      <c r="AD47" s="227">
        <f t="shared" si="45"/>
        <v>2294.956790123457</v>
      </c>
      <c r="AE47" s="227">
        <f t="shared" si="45"/>
        <v>2294.956790123457</v>
      </c>
      <c r="AF47" s="227">
        <f t="shared" si="45"/>
        <v>2294.956790123457</v>
      </c>
      <c r="AG47" s="227">
        <f t="shared" si="45"/>
        <v>2294.956790123457</v>
      </c>
      <c r="AH47" s="227">
        <f t="shared" si="45"/>
        <v>2294.956790123457</v>
      </c>
      <c r="AI47" s="227">
        <f aca="true" t="shared" si="46" ref="AI47:BJ47">+AI76+AI105+AI134</f>
        <v>2294.956790123457</v>
      </c>
      <c r="AJ47" s="227">
        <f t="shared" si="46"/>
        <v>2294.956790123457</v>
      </c>
      <c r="AK47" s="227">
        <f t="shared" si="46"/>
        <v>2294.956790123457</v>
      </c>
      <c r="AL47" s="228">
        <f t="shared" si="46"/>
        <v>2294.956790123457</v>
      </c>
      <c r="AM47" s="288">
        <f t="shared" si="46"/>
        <v>2294.956790123457</v>
      </c>
      <c r="AN47" s="227">
        <f t="shared" si="46"/>
        <v>2294.956790123457</v>
      </c>
      <c r="AO47" s="227">
        <f t="shared" si="46"/>
        <v>2294.956790123457</v>
      </c>
      <c r="AP47" s="227">
        <f t="shared" si="46"/>
        <v>2294.956790123457</v>
      </c>
      <c r="AQ47" s="227">
        <f t="shared" si="46"/>
        <v>2294.956790123457</v>
      </c>
      <c r="AR47" s="227">
        <f t="shared" si="46"/>
        <v>2294.956790123457</v>
      </c>
      <c r="AS47" s="227">
        <f t="shared" si="46"/>
        <v>2294.956790123457</v>
      </c>
      <c r="AT47" s="227">
        <f t="shared" si="46"/>
        <v>2294.956790123457</v>
      </c>
      <c r="AU47" s="227">
        <f t="shared" si="46"/>
        <v>2294.956790123457</v>
      </c>
      <c r="AV47" s="227">
        <f t="shared" si="46"/>
        <v>2294.956790123457</v>
      </c>
      <c r="AW47" s="227">
        <f t="shared" si="46"/>
        <v>2294.956790123457</v>
      </c>
      <c r="AX47" s="228">
        <f t="shared" si="46"/>
        <v>2294.956790123457</v>
      </c>
      <c r="AY47" s="288">
        <f t="shared" si="46"/>
        <v>4589.913580246914</v>
      </c>
      <c r="AZ47" s="227">
        <f t="shared" si="46"/>
        <v>4589.913580246914</v>
      </c>
      <c r="BA47" s="227">
        <f t="shared" si="46"/>
        <v>4589.913580246914</v>
      </c>
      <c r="BB47" s="227">
        <f t="shared" si="46"/>
        <v>4589.913580246914</v>
      </c>
      <c r="BC47" s="227">
        <f t="shared" si="46"/>
        <v>4589.913580246914</v>
      </c>
      <c r="BD47" s="227">
        <f t="shared" si="46"/>
        <v>4589.913580246914</v>
      </c>
      <c r="BE47" s="227">
        <f t="shared" si="46"/>
        <v>4589.913580246914</v>
      </c>
      <c r="BF47" s="227">
        <f t="shared" si="46"/>
        <v>4589.913580246914</v>
      </c>
      <c r="BG47" s="227">
        <f t="shared" si="46"/>
        <v>4589.913580246914</v>
      </c>
      <c r="BH47" s="227">
        <f t="shared" si="46"/>
        <v>4589.913580246914</v>
      </c>
      <c r="BI47" s="227">
        <f t="shared" si="46"/>
        <v>4589.913580246914</v>
      </c>
      <c r="BJ47" s="228">
        <f t="shared" si="46"/>
        <v>4589.913580246914</v>
      </c>
    </row>
    <row r="48" spans="2:62" ht="15.75">
      <c r="B48" s="215" t="str">
        <f t="shared" si="28"/>
        <v>Junior Developer</v>
      </c>
      <c r="C48" s="227">
        <f aca="true" t="shared" si="47" ref="C48:AH48">+C77+C106+C135</f>
        <v>0</v>
      </c>
      <c r="D48" s="227">
        <f t="shared" si="47"/>
        <v>0</v>
      </c>
      <c r="E48" s="227">
        <f t="shared" si="47"/>
        <v>0</v>
      </c>
      <c r="F48" s="227">
        <f t="shared" si="47"/>
        <v>0</v>
      </c>
      <c r="G48" s="227">
        <f t="shared" si="47"/>
        <v>0</v>
      </c>
      <c r="H48" s="227">
        <f t="shared" si="47"/>
        <v>0</v>
      </c>
      <c r="I48" s="227">
        <f t="shared" si="47"/>
        <v>0</v>
      </c>
      <c r="J48" s="227">
        <f t="shared" si="47"/>
        <v>0</v>
      </c>
      <c r="K48" s="227">
        <f t="shared" si="47"/>
        <v>0</v>
      </c>
      <c r="L48" s="227">
        <f t="shared" si="47"/>
        <v>0</v>
      </c>
      <c r="M48" s="227">
        <f t="shared" si="47"/>
        <v>0</v>
      </c>
      <c r="N48" s="227">
        <f t="shared" si="47"/>
        <v>0</v>
      </c>
      <c r="O48" s="288">
        <f t="shared" si="47"/>
        <v>2294.956790123457</v>
      </c>
      <c r="P48" s="227">
        <f t="shared" si="47"/>
        <v>2294.956790123457</v>
      </c>
      <c r="Q48" s="227">
        <f t="shared" si="47"/>
        <v>2294.956790123457</v>
      </c>
      <c r="R48" s="227">
        <f t="shared" si="47"/>
        <v>2294.956790123457</v>
      </c>
      <c r="S48" s="227">
        <f t="shared" si="47"/>
        <v>2294.956790123457</v>
      </c>
      <c r="T48" s="227">
        <f t="shared" si="47"/>
        <v>2294.956790123457</v>
      </c>
      <c r="U48" s="227">
        <f t="shared" si="47"/>
        <v>2294.956790123457</v>
      </c>
      <c r="V48" s="227">
        <f t="shared" si="47"/>
        <v>2294.956790123457</v>
      </c>
      <c r="W48" s="227">
        <f t="shared" si="47"/>
        <v>2294.956790123457</v>
      </c>
      <c r="X48" s="227">
        <f t="shared" si="47"/>
        <v>2294.956790123457</v>
      </c>
      <c r="Y48" s="227">
        <f t="shared" si="47"/>
        <v>2294.956790123457</v>
      </c>
      <c r="Z48" s="228">
        <f t="shared" si="47"/>
        <v>2294.956790123457</v>
      </c>
      <c r="AA48" s="288">
        <f t="shared" si="47"/>
        <v>4589.913580246914</v>
      </c>
      <c r="AB48" s="227">
        <f t="shared" si="47"/>
        <v>4589.913580246914</v>
      </c>
      <c r="AC48" s="227">
        <f t="shared" si="47"/>
        <v>4589.913580246914</v>
      </c>
      <c r="AD48" s="227">
        <f t="shared" si="47"/>
        <v>4589.913580246914</v>
      </c>
      <c r="AE48" s="227">
        <f t="shared" si="47"/>
        <v>4589.913580246914</v>
      </c>
      <c r="AF48" s="227">
        <f t="shared" si="47"/>
        <v>4589.913580246914</v>
      </c>
      <c r="AG48" s="227">
        <f t="shared" si="47"/>
        <v>4589.913580246914</v>
      </c>
      <c r="AH48" s="227">
        <f t="shared" si="47"/>
        <v>4589.913580246914</v>
      </c>
      <c r="AI48" s="227">
        <f aca="true" t="shared" si="48" ref="AI48:BJ48">+AI77+AI106+AI135</f>
        <v>4589.913580246914</v>
      </c>
      <c r="AJ48" s="227">
        <f t="shared" si="48"/>
        <v>4589.913580246914</v>
      </c>
      <c r="AK48" s="227">
        <f t="shared" si="48"/>
        <v>4589.913580246914</v>
      </c>
      <c r="AL48" s="228">
        <f t="shared" si="48"/>
        <v>4589.913580246914</v>
      </c>
      <c r="AM48" s="288">
        <f t="shared" si="48"/>
        <v>4589.913580246914</v>
      </c>
      <c r="AN48" s="227">
        <f t="shared" si="48"/>
        <v>4589.913580246914</v>
      </c>
      <c r="AO48" s="227">
        <f t="shared" si="48"/>
        <v>4589.913580246914</v>
      </c>
      <c r="AP48" s="227">
        <f t="shared" si="48"/>
        <v>4589.913580246914</v>
      </c>
      <c r="AQ48" s="227">
        <f t="shared" si="48"/>
        <v>4589.913580246914</v>
      </c>
      <c r="AR48" s="227">
        <f t="shared" si="48"/>
        <v>4589.913580246914</v>
      </c>
      <c r="AS48" s="227">
        <f t="shared" si="48"/>
        <v>4589.913580246914</v>
      </c>
      <c r="AT48" s="227">
        <f t="shared" si="48"/>
        <v>4589.913580246914</v>
      </c>
      <c r="AU48" s="227">
        <f t="shared" si="48"/>
        <v>4589.913580246914</v>
      </c>
      <c r="AV48" s="227">
        <f t="shared" si="48"/>
        <v>4589.913580246914</v>
      </c>
      <c r="AW48" s="227">
        <f t="shared" si="48"/>
        <v>4589.913580246914</v>
      </c>
      <c r="AX48" s="228">
        <f t="shared" si="48"/>
        <v>4589.913580246914</v>
      </c>
      <c r="AY48" s="288">
        <f t="shared" si="48"/>
        <v>4589.913580246914</v>
      </c>
      <c r="AZ48" s="227">
        <f t="shared" si="48"/>
        <v>4589.913580246914</v>
      </c>
      <c r="BA48" s="227">
        <f t="shared" si="48"/>
        <v>4589.913580246914</v>
      </c>
      <c r="BB48" s="227">
        <f t="shared" si="48"/>
        <v>4589.913580246914</v>
      </c>
      <c r="BC48" s="227">
        <f t="shared" si="48"/>
        <v>4589.913580246914</v>
      </c>
      <c r="BD48" s="227">
        <f t="shared" si="48"/>
        <v>4589.913580246914</v>
      </c>
      <c r="BE48" s="227">
        <f t="shared" si="48"/>
        <v>4589.913580246914</v>
      </c>
      <c r="BF48" s="227">
        <f t="shared" si="48"/>
        <v>4589.913580246914</v>
      </c>
      <c r="BG48" s="227">
        <f t="shared" si="48"/>
        <v>4589.913580246914</v>
      </c>
      <c r="BH48" s="227">
        <f t="shared" si="48"/>
        <v>4589.913580246914</v>
      </c>
      <c r="BI48" s="227">
        <f t="shared" si="48"/>
        <v>4589.913580246914</v>
      </c>
      <c r="BJ48" s="228">
        <f t="shared" si="48"/>
        <v>4589.913580246914</v>
      </c>
    </row>
    <row r="49" spans="2:62" ht="15.75">
      <c r="B49" s="215">
        <f t="shared" si="28"/>
        <v>0</v>
      </c>
      <c r="C49" s="227">
        <f aca="true" t="shared" si="49" ref="C49:AH49">+C78+C107+C136</f>
        <v>0</v>
      </c>
      <c r="D49" s="227">
        <f t="shared" si="49"/>
        <v>0</v>
      </c>
      <c r="E49" s="227">
        <f t="shared" si="49"/>
        <v>0</v>
      </c>
      <c r="F49" s="227">
        <f t="shared" si="49"/>
        <v>0</v>
      </c>
      <c r="G49" s="227">
        <f t="shared" si="49"/>
        <v>0</v>
      </c>
      <c r="H49" s="227">
        <f t="shared" si="49"/>
        <v>0</v>
      </c>
      <c r="I49" s="227">
        <f t="shared" si="49"/>
        <v>0</v>
      </c>
      <c r="J49" s="227">
        <f t="shared" si="49"/>
        <v>0</v>
      </c>
      <c r="K49" s="227">
        <f t="shared" si="49"/>
        <v>0</v>
      </c>
      <c r="L49" s="227">
        <f t="shared" si="49"/>
        <v>0</v>
      </c>
      <c r="M49" s="227">
        <f t="shared" si="49"/>
        <v>0</v>
      </c>
      <c r="N49" s="227">
        <f t="shared" si="49"/>
        <v>0</v>
      </c>
      <c r="O49" s="288">
        <f t="shared" si="49"/>
        <v>0</v>
      </c>
      <c r="P49" s="227">
        <f t="shared" si="49"/>
        <v>0</v>
      </c>
      <c r="Q49" s="227">
        <f t="shared" si="49"/>
        <v>0</v>
      </c>
      <c r="R49" s="227">
        <f t="shared" si="49"/>
        <v>0</v>
      </c>
      <c r="S49" s="227">
        <f t="shared" si="49"/>
        <v>0</v>
      </c>
      <c r="T49" s="227">
        <f t="shared" si="49"/>
        <v>0</v>
      </c>
      <c r="U49" s="227">
        <f t="shared" si="49"/>
        <v>0</v>
      </c>
      <c r="V49" s="227">
        <f t="shared" si="49"/>
        <v>0</v>
      </c>
      <c r="W49" s="227">
        <f t="shared" si="49"/>
        <v>0</v>
      </c>
      <c r="X49" s="227">
        <f t="shared" si="49"/>
        <v>0</v>
      </c>
      <c r="Y49" s="227">
        <f t="shared" si="49"/>
        <v>0</v>
      </c>
      <c r="Z49" s="228">
        <f t="shared" si="49"/>
        <v>0</v>
      </c>
      <c r="AA49" s="288">
        <f t="shared" si="49"/>
        <v>0</v>
      </c>
      <c r="AB49" s="227">
        <f t="shared" si="49"/>
        <v>0</v>
      </c>
      <c r="AC49" s="227">
        <f t="shared" si="49"/>
        <v>0</v>
      </c>
      <c r="AD49" s="227">
        <f t="shared" si="49"/>
        <v>0</v>
      </c>
      <c r="AE49" s="227">
        <f t="shared" si="49"/>
        <v>0</v>
      </c>
      <c r="AF49" s="227">
        <f t="shared" si="49"/>
        <v>0</v>
      </c>
      <c r="AG49" s="227">
        <f t="shared" si="49"/>
        <v>0</v>
      </c>
      <c r="AH49" s="227">
        <f t="shared" si="49"/>
        <v>0</v>
      </c>
      <c r="AI49" s="227">
        <f aca="true" t="shared" si="50" ref="AI49:BJ49">+AI78+AI107+AI136</f>
        <v>0</v>
      </c>
      <c r="AJ49" s="227">
        <f t="shared" si="50"/>
        <v>0</v>
      </c>
      <c r="AK49" s="227">
        <f t="shared" si="50"/>
        <v>0</v>
      </c>
      <c r="AL49" s="228">
        <f t="shared" si="50"/>
        <v>0</v>
      </c>
      <c r="AM49" s="288">
        <f t="shared" si="50"/>
        <v>0</v>
      </c>
      <c r="AN49" s="227">
        <f t="shared" si="50"/>
        <v>0</v>
      </c>
      <c r="AO49" s="227">
        <f t="shared" si="50"/>
        <v>0</v>
      </c>
      <c r="AP49" s="227">
        <f t="shared" si="50"/>
        <v>0</v>
      </c>
      <c r="AQ49" s="227">
        <f t="shared" si="50"/>
        <v>0</v>
      </c>
      <c r="AR49" s="227">
        <f t="shared" si="50"/>
        <v>0</v>
      </c>
      <c r="AS49" s="227">
        <f t="shared" si="50"/>
        <v>0</v>
      </c>
      <c r="AT49" s="227">
        <f t="shared" si="50"/>
        <v>0</v>
      </c>
      <c r="AU49" s="227">
        <f t="shared" si="50"/>
        <v>0</v>
      </c>
      <c r="AV49" s="227">
        <f t="shared" si="50"/>
        <v>0</v>
      </c>
      <c r="AW49" s="227">
        <f t="shared" si="50"/>
        <v>0</v>
      </c>
      <c r="AX49" s="228">
        <f t="shared" si="50"/>
        <v>0</v>
      </c>
      <c r="AY49" s="288">
        <f t="shared" si="50"/>
        <v>0</v>
      </c>
      <c r="AZ49" s="227">
        <f t="shared" si="50"/>
        <v>0</v>
      </c>
      <c r="BA49" s="227">
        <f t="shared" si="50"/>
        <v>0</v>
      </c>
      <c r="BB49" s="227">
        <f t="shared" si="50"/>
        <v>0</v>
      </c>
      <c r="BC49" s="227">
        <f t="shared" si="50"/>
        <v>0</v>
      </c>
      <c r="BD49" s="227">
        <f t="shared" si="50"/>
        <v>0</v>
      </c>
      <c r="BE49" s="227">
        <f t="shared" si="50"/>
        <v>0</v>
      </c>
      <c r="BF49" s="227">
        <f t="shared" si="50"/>
        <v>0</v>
      </c>
      <c r="BG49" s="227">
        <f t="shared" si="50"/>
        <v>0</v>
      </c>
      <c r="BH49" s="227">
        <f t="shared" si="50"/>
        <v>0</v>
      </c>
      <c r="BI49" s="227">
        <f t="shared" si="50"/>
        <v>0</v>
      </c>
      <c r="BJ49" s="228">
        <f t="shared" si="50"/>
        <v>0</v>
      </c>
    </row>
    <row r="50" spans="2:62" ht="15.75">
      <c r="B50" s="215">
        <f t="shared" si="28"/>
        <v>0</v>
      </c>
      <c r="C50" s="227">
        <f aca="true" t="shared" si="51" ref="C50:AH50">+C79+C108+C137</f>
        <v>0</v>
      </c>
      <c r="D50" s="227">
        <f t="shared" si="51"/>
        <v>0</v>
      </c>
      <c r="E50" s="227">
        <f t="shared" si="51"/>
        <v>0</v>
      </c>
      <c r="F50" s="227">
        <f t="shared" si="51"/>
        <v>0</v>
      </c>
      <c r="G50" s="227">
        <f t="shared" si="51"/>
        <v>0</v>
      </c>
      <c r="H50" s="227">
        <f t="shared" si="51"/>
        <v>0</v>
      </c>
      <c r="I50" s="227">
        <f t="shared" si="51"/>
        <v>0</v>
      </c>
      <c r="J50" s="227">
        <f t="shared" si="51"/>
        <v>0</v>
      </c>
      <c r="K50" s="227">
        <f t="shared" si="51"/>
        <v>0</v>
      </c>
      <c r="L50" s="227">
        <f t="shared" si="51"/>
        <v>0</v>
      </c>
      <c r="M50" s="227">
        <f t="shared" si="51"/>
        <v>0</v>
      </c>
      <c r="N50" s="227">
        <f t="shared" si="51"/>
        <v>0</v>
      </c>
      <c r="O50" s="288">
        <f t="shared" si="51"/>
        <v>0</v>
      </c>
      <c r="P50" s="227">
        <f t="shared" si="51"/>
        <v>0</v>
      </c>
      <c r="Q50" s="227">
        <f t="shared" si="51"/>
        <v>0</v>
      </c>
      <c r="R50" s="227">
        <f t="shared" si="51"/>
        <v>0</v>
      </c>
      <c r="S50" s="227">
        <f t="shared" si="51"/>
        <v>0</v>
      </c>
      <c r="T50" s="227">
        <f t="shared" si="51"/>
        <v>0</v>
      </c>
      <c r="U50" s="227">
        <f t="shared" si="51"/>
        <v>0</v>
      </c>
      <c r="V50" s="227">
        <f t="shared" si="51"/>
        <v>0</v>
      </c>
      <c r="W50" s="227">
        <f t="shared" si="51"/>
        <v>0</v>
      </c>
      <c r="X50" s="227">
        <f t="shared" si="51"/>
        <v>0</v>
      </c>
      <c r="Y50" s="227">
        <f t="shared" si="51"/>
        <v>0</v>
      </c>
      <c r="Z50" s="228">
        <f t="shared" si="51"/>
        <v>0</v>
      </c>
      <c r="AA50" s="288">
        <f t="shared" si="51"/>
        <v>0</v>
      </c>
      <c r="AB50" s="227">
        <f t="shared" si="51"/>
        <v>0</v>
      </c>
      <c r="AC50" s="227">
        <f t="shared" si="51"/>
        <v>0</v>
      </c>
      <c r="AD50" s="227">
        <f t="shared" si="51"/>
        <v>0</v>
      </c>
      <c r="AE50" s="227">
        <f t="shared" si="51"/>
        <v>0</v>
      </c>
      <c r="AF50" s="227">
        <f t="shared" si="51"/>
        <v>0</v>
      </c>
      <c r="AG50" s="227">
        <f t="shared" si="51"/>
        <v>0</v>
      </c>
      <c r="AH50" s="227">
        <f t="shared" si="51"/>
        <v>0</v>
      </c>
      <c r="AI50" s="227">
        <f aca="true" t="shared" si="52" ref="AI50:BJ50">+AI79+AI108+AI137</f>
        <v>0</v>
      </c>
      <c r="AJ50" s="227">
        <f t="shared" si="52"/>
        <v>0</v>
      </c>
      <c r="AK50" s="227">
        <f t="shared" si="52"/>
        <v>0</v>
      </c>
      <c r="AL50" s="228">
        <f t="shared" si="52"/>
        <v>0</v>
      </c>
      <c r="AM50" s="288">
        <f t="shared" si="52"/>
        <v>0</v>
      </c>
      <c r="AN50" s="227">
        <f t="shared" si="52"/>
        <v>0</v>
      </c>
      <c r="AO50" s="227">
        <f t="shared" si="52"/>
        <v>0</v>
      </c>
      <c r="AP50" s="227">
        <f t="shared" si="52"/>
        <v>0</v>
      </c>
      <c r="AQ50" s="227">
        <f t="shared" si="52"/>
        <v>0</v>
      </c>
      <c r="AR50" s="227">
        <f t="shared" si="52"/>
        <v>0</v>
      </c>
      <c r="AS50" s="227">
        <f t="shared" si="52"/>
        <v>0</v>
      </c>
      <c r="AT50" s="227">
        <f t="shared" si="52"/>
        <v>0</v>
      </c>
      <c r="AU50" s="227">
        <f t="shared" si="52"/>
        <v>0</v>
      </c>
      <c r="AV50" s="227">
        <f t="shared" si="52"/>
        <v>0</v>
      </c>
      <c r="AW50" s="227">
        <f t="shared" si="52"/>
        <v>0</v>
      </c>
      <c r="AX50" s="228">
        <f t="shared" si="52"/>
        <v>0</v>
      </c>
      <c r="AY50" s="288">
        <f t="shared" si="52"/>
        <v>0</v>
      </c>
      <c r="AZ50" s="227">
        <f t="shared" si="52"/>
        <v>0</v>
      </c>
      <c r="BA50" s="227">
        <f t="shared" si="52"/>
        <v>0</v>
      </c>
      <c r="BB50" s="227">
        <f t="shared" si="52"/>
        <v>0</v>
      </c>
      <c r="BC50" s="227">
        <f t="shared" si="52"/>
        <v>0</v>
      </c>
      <c r="BD50" s="227">
        <f t="shared" si="52"/>
        <v>0</v>
      </c>
      <c r="BE50" s="227">
        <f t="shared" si="52"/>
        <v>0</v>
      </c>
      <c r="BF50" s="227">
        <f t="shared" si="52"/>
        <v>0</v>
      </c>
      <c r="BG50" s="227">
        <f t="shared" si="52"/>
        <v>0</v>
      </c>
      <c r="BH50" s="227">
        <f t="shared" si="52"/>
        <v>0</v>
      </c>
      <c r="BI50" s="227">
        <f t="shared" si="52"/>
        <v>0</v>
      </c>
      <c r="BJ50" s="228">
        <f t="shared" si="52"/>
        <v>0</v>
      </c>
    </row>
    <row r="51" spans="2:62" ht="15.75">
      <c r="B51" s="215">
        <f t="shared" si="28"/>
        <v>0</v>
      </c>
      <c r="C51" s="227">
        <f aca="true" t="shared" si="53" ref="C51:AH51">+C80+C109+C138</f>
        <v>0</v>
      </c>
      <c r="D51" s="227">
        <f t="shared" si="53"/>
        <v>0</v>
      </c>
      <c r="E51" s="227">
        <f t="shared" si="53"/>
        <v>0</v>
      </c>
      <c r="F51" s="227">
        <f t="shared" si="53"/>
        <v>0</v>
      </c>
      <c r="G51" s="227">
        <f t="shared" si="53"/>
        <v>0</v>
      </c>
      <c r="H51" s="227">
        <f t="shared" si="53"/>
        <v>0</v>
      </c>
      <c r="I51" s="227">
        <f t="shared" si="53"/>
        <v>0</v>
      </c>
      <c r="J51" s="227">
        <f t="shared" si="53"/>
        <v>0</v>
      </c>
      <c r="K51" s="227">
        <f t="shared" si="53"/>
        <v>0</v>
      </c>
      <c r="L51" s="227">
        <f t="shared" si="53"/>
        <v>0</v>
      </c>
      <c r="M51" s="227">
        <f t="shared" si="53"/>
        <v>0</v>
      </c>
      <c r="N51" s="227">
        <f t="shared" si="53"/>
        <v>0</v>
      </c>
      <c r="O51" s="288">
        <f t="shared" si="53"/>
        <v>0</v>
      </c>
      <c r="P51" s="227">
        <f t="shared" si="53"/>
        <v>0</v>
      </c>
      <c r="Q51" s="227">
        <f t="shared" si="53"/>
        <v>0</v>
      </c>
      <c r="R51" s="227">
        <f t="shared" si="53"/>
        <v>0</v>
      </c>
      <c r="S51" s="227">
        <f t="shared" si="53"/>
        <v>0</v>
      </c>
      <c r="T51" s="227">
        <f t="shared" si="53"/>
        <v>0</v>
      </c>
      <c r="U51" s="227">
        <f t="shared" si="53"/>
        <v>0</v>
      </c>
      <c r="V51" s="227">
        <f t="shared" si="53"/>
        <v>0</v>
      </c>
      <c r="W51" s="227">
        <f t="shared" si="53"/>
        <v>0</v>
      </c>
      <c r="X51" s="227">
        <f t="shared" si="53"/>
        <v>0</v>
      </c>
      <c r="Y51" s="227">
        <f t="shared" si="53"/>
        <v>0</v>
      </c>
      <c r="Z51" s="228">
        <f t="shared" si="53"/>
        <v>0</v>
      </c>
      <c r="AA51" s="288">
        <f t="shared" si="53"/>
        <v>0</v>
      </c>
      <c r="AB51" s="227">
        <f t="shared" si="53"/>
        <v>0</v>
      </c>
      <c r="AC51" s="227">
        <f t="shared" si="53"/>
        <v>0</v>
      </c>
      <c r="AD51" s="227">
        <f t="shared" si="53"/>
        <v>0</v>
      </c>
      <c r="AE51" s="227">
        <f t="shared" si="53"/>
        <v>0</v>
      </c>
      <c r="AF51" s="227">
        <f t="shared" si="53"/>
        <v>0</v>
      </c>
      <c r="AG51" s="227">
        <f t="shared" si="53"/>
        <v>0</v>
      </c>
      <c r="AH51" s="227">
        <f t="shared" si="53"/>
        <v>0</v>
      </c>
      <c r="AI51" s="227">
        <f aca="true" t="shared" si="54" ref="AI51:BJ51">+AI80+AI109+AI138</f>
        <v>0</v>
      </c>
      <c r="AJ51" s="227">
        <f t="shared" si="54"/>
        <v>0</v>
      </c>
      <c r="AK51" s="227">
        <f t="shared" si="54"/>
        <v>0</v>
      </c>
      <c r="AL51" s="228">
        <f t="shared" si="54"/>
        <v>0</v>
      </c>
      <c r="AM51" s="288">
        <f t="shared" si="54"/>
        <v>0</v>
      </c>
      <c r="AN51" s="227">
        <f t="shared" si="54"/>
        <v>0</v>
      </c>
      <c r="AO51" s="227">
        <f t="shared" si="54"/>
        <v>0</v>
      </c>
      <c r="AP51" s="227">
        <f t="shared" si="54"/>
        <v>0</v>
      </c>
      <c r="AQ51" s="227">
        <f t="shared" si="54"/>
        <v>0</v>
      </c>
      <c r="AR51" s="227">
        <f t="shared" si="54"/>
        <v>0</v>
      </c>
      <c r="AS51" s="227">
        <f t="shared" si="54"/>
        <v>0</v>
      </c>
      <c r="AT51" s="227">
        <f t="shared" si="54"/>
        <v>0</v>
      </c>
      <c r="AU51" s="227">
        <f t="shared" si="54"/>
        <v>0</v>
      </c>
      <c r="AV51" s="227">
        <f t="shared" si="54"/>
        <v>0</v>
      </c>
      <c r="AW51" s="227">
        <f t="shared" si="54"/>
        <v>0</v>
      </c>
      <c r="AX51" s="228">
        <f t="shared" si="54"/>
        <v>0</v>
      </c>
      <c r="AY51" s="288">
        <f t="shared" si="54"/>
        <v>0</v>
      </c>
      <c r="AZ51" s="227">
        <f t="shared" si="54"/>
        <v>0</v>
      </c>
      <c r="BA51" s="227">
        <f t="shared" si="54"/>
        <v>0</v>
      </c>
      <c r="BB51" s="227">
        <f t="shared" si="54"/>
        <v>0</v>
      </c>
      <c r="BC51" s="227">
        <f t="shared" si="54"/>
        <v>0</v>
      </c>
      <c r="BD51" s="227">
        <f t="shared" si="54"/>
        <v>0</v>
      </c>
      <c r="BE51" s="227">
        <f t="shared" si="54"/>
        <v>0</v>
      </c>
      <c r="BF51" s="227">
        <f t="shared" si="54"/>
        <v>0</v>
      </c>
      <c r="BG51" s="227">
        <f t="shared" si="54"/>
        <v>0</v>
      </c>
      <c r="BH51" s="227">
        <f t="shared" si="54"/>
        <v>0</v>
      </c>
      <c r="BI51" s="227">
        <f t="shared" si="54"/>
        <v>0</v>
      </c>
      <c r="BJ51" s="228">
        <f t="shared" si="54"/>
        <v>0</v>
      </c>
    </row>
    <row r="52" spans="2:62" ht="15.75">
      <c r="B52" s="215">
        <f t="shared" si="28"/>
        <v>0</v>
      </c>
      <c r="C52" s="227">
        <f aca="true" t="shared" si="55" ref="C52:AH52">+C81+C110+C139</f>
        <v>0</v>
      </c>
      <c r="D52" s="227">
        <f t="shared" si="55"/>
        <v>0</v>
      </c>
      <c r="E52" s="227">
        <f t="shared" si="55"/>
        <v>0</v>
      </c>
      <c r="F52" s="227">
        <f t="shared" si="55"/>
        <v>0</v>
      </c>
      <c r="G52" s="227">
        <f t="shared" si="55"/>
        <v>0</v>
      </c>
      <c r="H52" s="227">
        <f t="shared" si="55"/>
        <v>0</v>
      </c>
      <c r="I52" s="227">
        <f t="shared" si="55"/>
        <v>0</v>
      </c>
      <c r="J52" s="227">
        <f t="shared" si="55"/>
        <v>0</v>
      </c>
      <c r="K52" s="227">
        <f t="shared" si="55"/>
        <v>0</v>
      </c>
      <c r="L52" s="227">
        <f t="shared" si="55"/>
        <v>0</v>
      </c>
      <c r="M52" s="227">
        <f t="shared" si="55"/>
        <v>0</v>
      </c>
      <c r="N52" s="227">
        <f t="shared" si="55"/>
        <v>0</v>
      </c>
      <c r="O52" s="288">
        <f t="shared" si="55"/>
        <v>0</v>
      </c>
      <c r="P52" s="227">
        <f t="shared" si="55"/>
        <v>0</v>
      </c>
      <c r="Q52" s="227">
        <f t="shared" si="55"/>
        <v>0</v>
      </c>
      <c r="R52" s="227">
        <f t="shared" si="55"/>
        <v>0</v>
      </c>
      <c r="S52" s="227">
        <f t="shared" si="55"/>
        <v>0</v>
      </c>
      <c r="T52" s="227">
        <f t="shared" si="55"/>
        <v>0</v>
      </c>
      <c r="U52" s="227">
        <f t="shared" si="55"/>
        <v>0</v>
      </c>
      <c r="V52" s="227">
        <f t="shared" si="55"/>
        <v>0</v>
      </c>
      <c r="W52" s="227">
        <f t="shared" si="55"/>
        <v>0</v>
      </c>
      <c r="X52" s="227">
        <f t="shared" si="55"/>
        <v>0</v>
      </c>
      <c r="Y52" s="227">
        <f t="shared" si="55"/>
        <v>0</v>
      </c>
      <c r="Z52" s="228">
        <f t="shared" si="55"/>
        <v>0</v>
      </c>
      <c r="AA52" s="288">
        <f t="shared" si="55"/>
        <v>0</v>
      </c>
      <c r="AB52" s="227">
        <f t="shared" si="55"/>
        <v>0</v>
      </c>
      <c r="AC52" s="227">
        <f t="shared" si="55"/>
        <v>0</v>
      </c>
      <c r="AD52" s="227">
        <f t="shared" si="55"/>
        <v>0</v>
      </c>
      <c r="AE52" s="227">
        <f t="shared" si="55"/>
        <v>0</v>
      </c>
      <c r="AF52" s="227">
        <f t="shared" si="55"/>
        <v>0</v>
      </c>
      <c r="AG52" s="227">
        <f t="shared" si="55"/>
        <v>0</v>
      </c>
      <c r="AH52" s="227">
        <f t="shared" si="55"/>
        <v>0</v>
      </c>
      <c r="AI52" s="227">
        <f aca="true" t="shared" si="56" ref="AI52:BJ52">+AI81+AI110+AI139</f>
        <v>0</v>
      </c>
      <c r="AJ52" s="227">
        <f t="shared" si="56"/>
        <v>0</v>
      </c>
      <c r="AK52" s="227">
        <f t="shared" si="56"/>
        <v>0</v>
      </c>
      <c r="AL52" s="228">
        <f t="shared" si="56"/>
        <v>0</v>
      </c>
      <c r="AM52" s="288">
        <f t="shared" si="56"/>
        <v>0</v>
      </c>
      <c r="AN52" s="227">
        <f t="shared" si="56"/>
        <v>0</v>
      </c>
      <c r="AO52" s="227">
        <f t="shared" si="56"/>
        <v>0</v>
      </c>
      <c r="AP52" s="227">
        <f t="shared" si="56"/>
        <v>0</v>
      </c>
      <c r="AQ52" s="227">
        <f t="shared" si="56"/>
        <v>0</v>
      </c>
      <c r="AR52" s="227">
        <f t="shared" si="56"/>
        <v>0</v>
      </c>
      <c r="AS52" s="227">
        <f t="shared" si="56"/>
        <v>0</v>
      </c>
      <c r="AT52" s="227">
        <f t="shared" si="56"/>
        <v>0</v>
      </c>
      <c r="AU52" s="227">
        <f t="shared" si="56"/>
        <v>0</v>
      </c>
      <c r="AV52" s="227">
        <f t="shared" si="56"/>
        <v>0</v>
      </c>
      <c r="AW52" s="227">
        <f t="shared" si="56"/>
        <v>0</v>
      </c>
      <c r="AX52" s="228">
        <f t="shared" si="56"/>
        <v>0</v>
      </c>
      <c r="AY52" s="288">
        <f t="shared" si="56"/>
        <v>0</v>
      </c>
      <c r="AZ52" s="227">
        <f t="shared" si="56"/>
        <v>0</v>
      </c>
      <c r="BA52" s="227">
        <f t="shared" si="56"/>
        <v>0</v>
      </c>
      <c r="BB52" s="227">
        <f t="shared" si="56"/>
        <v>0</v>
      </c>
      <c r="BC52" s="227">
        <f t="shared" si="56"/>
        <v>0</v>
      </c>
      <c r="BD52" s="227">
        <f t="shared" si="56"/>
        <v>0</v>
      </c>
      <c r="BE52" s="227">
        <f t="shared" si="56"/>
        <v>0</v>
      </c>
      <c r="BF52" s="227">
        <f t="shared" si="56"/>
        <v>0</v>
      </c>
      <c r="BG52" s="227">
        <f t="shared" si="56"/>
        <v>0</v>
      </c>
      <c r="BH52" s="227">
        <f t="shared" si="56"/>
        <v>0</v>
      </c>
      <c r="BI52" s="227">
        <f t="shared" si="56"/>
        <v>0</v>
      </c>
      <c r="BJ52" s="228">
        <f t="shared" si="56"/>
        <v>0</v>
      </c>
    </row>
    <row r="53" spans="2:62" ht="15.75">
      <c r="B53" s="215">
        <f t="shared" si="28"/>
        <v>0</v>
      </c>
      <c r="C53" s="227">
        <f aca="true" t="shared" si="57" ref="C53:AH53">+C82+C111+C140</f>
        <v>0</v>
      </c>
      <c r="D53" s="227">
        <f t="shared" si="57"/>
        <v>0</v>
      </c>
      <c r="E53" s="227">
        <f t="shared" si="57"/>
        <v>0</v>
      </c>
      <c r="F53" s="227">
        <f t="shared" si="57"/>
        <v>0</v>
      </c>
      <c r="G53" s="227">
        <f t="shared" si="57"/>
        <v>0</v>
      </c>
      <c r="H53" s="227">
        <f t="shared" si="57"/>
        <v>0</v>
      </c>
      <c r="I53" s="227">
        <f t="shared" si="57"/>
        <v>0</v>
      </c>
      <c r="J53" s="227">
        <f t="shared" si="57"/>
        <v>0</v>
      </c>
      <c r="K53" s="227">
        <f t="shared" si="57"/>
        <v>0</v>
      </c>
      <c r="L53" s="227">
        <f t="shared" si="57"/>
        <v>0</v>
      </c>
      <c r="M53" s="227">
        <f t="shared" si="57"/>
        <v>0</v>
      </c>
      <c r="N53" s="227">
        <f t="shared" si="57"/>
        <v>0</v>
      </c>
      <c r="O53" s="288">
        <f t="shared" si="57"/>
        <v>0</v>
      </c>
      <c r="P53" s="227">
        <f t="shared" si="57"/>
        <v>0</v>
      </c>
      <c r="Q53" s="227">
        <f t="shared" si="57"/>
        <v>0</v>
      </c>
      <c r="R53" s="227">
        <f t="shared" si="57"/>
        <v>0</v>
      </c>
      <c r="S53" s="227">
        <f t="shared" si="57"/>
        <v>0</v>
      </c>
      <c r="T53" s="227">
        <f t="shared" si="57"/>
        <v>0</v>
      </c>
      <c r="U53" s="227">
        <f t="shared" si="57"/>
        <v>0</v>
      </c>
      <c r="V53" s="227">
        <f t="shared" si="57"/>
        <v>0</v>
      </c>
      <c r="W53" s="227">
        <f t="shared" si="57"/>
        <v>0</v>
      </c>
      <c r="X53" s="227">
        <f t="shared" si="57"/>
        <v>0</v>
      </c>
      <c r="Y53" s="227">
        <f t="shared" si="57"/>
        <v>0</v>
      </c>
      <c r="Z53" s="228">
        <f t="shared" si="57"/>
        <v>0</v>
      </c>
      <c r="AA53" s="288">
        <f t="shared" si="57"/>
        <v>0</v>
      </c>
      <c r="AB53" s="227">
        <f t="shared" si="57"/>
        <v>0</v>
      </c>
      <c r="AC53" s="227">
        <f t="shared" si="57"/>
        <v>0</v>
      </c>
      <c r="AD53" s="227">
        <f t="shared" si="57"/>
        <v>0</v>
      </c>
      <c r="AE53" s="227">
        <f t="shared" si="57"/>
        <v>0</v>
      </c>
      <c r="AF53" s="227">
        <f t="shared" si="57"/>
        <v>0</v>
      </c>
      <c r="AG53" s="227">
        <f t="shared" si="57"/>
        <v>0</v>
      </c>
      <c r="AH53" s="227">
        <f t="shared" si="57"/>
        <v>0</v>
      </c>
      <c r="AI53" s="227">
        <f aca="true" t="shared" si="58" ref="AI53:BJ53">+AI82+AI111+AI140</f>
        <v>0</v>
      </c>
      <c r="AJ53" s="227">
        <f t="shared" si="58"/>
        <v>0</v>
      </c>
      <c r="AK53" s="227">
        <f t="shared" si="58"/>
        <v>0</v>
      </c>
      <c r="AL53" s="228">
        <f t="shared" si="58"/>
        <v>0</v>
      </c>
      <c r="AM53" s="288">
        <f t="shared" si="58"/>
        <v>0</v>
      </c>
      <c r="AN53" s="227">
        <f t="shared" si="58"/>
        <v>0</v>
      </c>
      <c r="AO53" s="227">
        <f t="shared" si="58"/>
        <v>0</v>
      </c>
      <c r="AP53" s="227">
        <f t="shared" si="58"/>
        <v>0</v>
      </c>
      <c r="AQ53" s="227">
        <f t="shared" si="58"/>
        <v>0</v>
      </c>
      <c r="AR53" s="227">
        <f t="shared" si="58"/>
        <v>0</v>
      </c>
      <c r="AS53" s="227">
        <f t="shared" si="58"/>
        <v>0</v>
      </c>
      <c r="AT53" s="227">
        <f t="shared" si="58"/>
        <v>0</v>
      </c>
      <c r="AU53" s="227">
        <f t="shared" si="58"/>
        <v>0</v>
      </c>
      <c r="AV53" s="227">
        <f t="shared" si="58"/>
        <v>0</v>
      </c>
      <c r="AW53" s="227">
        <f t="shared" si="58"/>
        <v>0</v>
      </c>
      <c r="AX53" s="228">
        <f t="shared" si="58"/>
        <v>0</v>
      </c>
      <c r="AY53" s="288">
        <f t="shared" si="58"/>
        <v>0</v>
      </c>
      <c r="AZ53" s="227">
        <f t="shared" si="58"/>
        <v>0</v>
      </c>
      <c r="BA53" s="227">
        <f t="shared" si="58"/>
        <v>0</v>
      </c>
      <c r="BB53" s="227">
        <f t="shared" si="58"/>
        <v>0</v>
      </c>
      <c r="BC53" s="227">
        <f t="shared" si="58"/>
        <v>0</v>
      </c>
      <c r="BD53" s="227">
        <f t="shared" si="58"/>
        <v>0</v>
      </c>
      <c r="BE53" s="227">
        <f t="shared" si="58"/>
        <v>0</v>
      </c>
      <c r="BF53" s="227">
        <f t="shared" si="58"/>
        <v>0</v>
      </c>
      <c r="BG53" s="227">
        <f t="shared" si="58"/>
        <v>0</v>
      </c>
      <c r="BH53" s="227">
        <f t="shared" si="58"/>
        <v>0</v>
      </c>
      <c r="BI53" s="227">
        <f t="shared" si="58"/>
        <v>0</v>
      </c>
      <c r="BJ53" s="228">
        <f t="shared" si="58"/>
        <v>0</v>
      </c>
    </row>
    <row r="54" spans="2:62" ht="15.75">
      <c r="B54" s="215">
        <f t="shared" si="28"/>
        <v>0</v>
      </c>
      <c r="C54" s="227">
        <f aca="true" t="shared" si="59" ref="C54:AH54">+C83+C112+C141</f>
        <v>0</v>
      </c>
      <c r="D54" s="227">
        <f t="shared" si="59"/>
        <v>0</v>
      </c>
      <c r="E54" s="227">
        <f t="shared" si="59"/>
        <v>0</v>
      </c>
      <c r="F54" s="227">
        <f t="shared" si="59"/>
        <v>0</v>
      </c>
      <c r="G54" s="227">
        <f t="shared" si="59"/>
        <v>0</v>
      </c>
      <c r="H54" s="227">
        <f t="shared" si="59"/>
        <v>0</v>
      </c>
      <c r="I54" s="227">
        <f t="shared" si="59"/>
        <v>0</v>
      </c>
      <c r="J54" s="227">
        <f t="shared" si="59"/>
        <v>0</v>
      </c>
      <c r="K54" s="227">
        <f t="shared" si="59"/>
        <v>0</v>
      </c>
      <c r="L54" s="227">
        <f t="shared" si="59"/>
        <v>0</v>
      </c>
      <c r="M54" s="227">
        <f t="shared" si="59"/>
        <v>0</v>
      </c>
      <c r="N54" s="227">
        <f t="shared" si="59"/>
        <v>0</v>
      </c>
      <c r="O54" s="288">
        <f t="shared" si="59"/>
        <v>0</v>
      </c>
      <c r="P54" s="227">
        <f t="shared" si="59"/>
        <v>0</v>
      </c>
      <c r="Q54" s="227">
        <f t="shared" si="59"/>
        <v>0</v>
      </c>
      <c r="R54" s="227">
        <f t="shared" si="59"/>
        <v>0</v>
      </c>
      <c r="S54" s="227">
        <f t="shared" si="59"/>
        <v>0</v>
      </c>
      <c r="T54" s="227">
        <f t="shared" si="59"/>
        <v>0</v>
      </c>
      <c r="U54" s="227">
        <f t="shared" si="59"/>
        <v>0</v>
      </c>
      <c r="V54" s="227">
        <f t="shared" si="59"/>
        <v>0</v>
      </c>
      <c r="W54" s="227">
        <f t="shared" si="59"/>
        <v>0</v>
      </c>
      <c r="X54" s="227">
        <f t="shared" si="59"/>
        <v>0</v>
      </c>
      <c r="Y54" s="227">
        <f t="shared" si="59"/>
        <v>0</v>
      </c>
      <c r="Z54" s="228">
        <f t="shared" si="59"/>
        <v>0</v>
      </c>
      <c r="AA54" s="288">
        <f t="shared" si="59"/>
        <v>0</v>
      </c>
      <c r="AB54" s="227">
        <f t="shared" si="59"/>
        <v>0</v>
      </c>
      <c r="AC54" s="227">
        <f t="shared" si="59"/>
        <v>0</v>
      </c>
      <c r="AD54" s="227">
        <f t="shared" si="59"/>
        <v>0</v>
      </c>
      <c r="AE54" s="227">
        <f t="shared" si="59"/>
        <v>0</v>
      </c>
      <c r="AF54" s="227">
        <f t="shared" si="59"/>
        <v>0</v>
      </c>
      <c r="AG54" s="227">
        <f t="shared" si="59"/>
        <v>0</v>
      </c>
      <c r="AH54" s="227">
        <f t="shared" si="59"/>
        <v>0</v>
      </c>
      <c r="AI54" s="227">
        <f aca="true" t="shared" si="60" ref="AI54:BJ54">+AI83+AI112+AI141</f>
        <v>0</v>
      </c>
      <c r="AJ54" s="227">
        <f t="shared" si="60"/>
        <v>0</v>
      </c>
      <c r="AK54" s="227">
        <f t="shared" si="60"/>
        <v>0</v>
      </c>
      <c r="AL54" s="228">
        <f t="shared" si="60"/>
        <v>0</v>
      </c>
      <c r="AM54" s="288">
        <f t="shared" si="60"/>
        <v>0</v>
      </c>
      <c r="AN54" s="227">
        <f t="shared" si="60"/>
        <v>0</v>
      </c>
      <c r="AO54" s="227">
        <f t="shared" si="60"/>
        <v>0</v>
      </c>
      <c r="AP54" s="227">
        <f t="shared" si="60"/>
        <v>0</v>
      </c>
      <c r="AQ54" s="227">
        <f t="shared" si="60"/>
        <v>0</v>
      </c>
      <c r="AR54" s="227">
        <f t="shared" si="60"/>
        <v>0</v>
      </c>
      <c r="AS54" s="227">
        <f t="shared" si="60"/>
        <v>0</v>
      </c>
      <c r="AT54" s="227">
        <f t="shared" si="60"/>
        <v>0</v>
      </c>
      <c r="AU54" s="227">
        <f t="shared" si="60"/>
        <v>0</v>
      </c>
      <c r="AV54" s="227">
        <f t="shared" si="60"/>
        <v>0</v>
      </c>
      <c r="AW54" s="227">
        <f t="shared" si="60"/>
        <v>0</v>
      </c>
      <c r="AX54" s="228">
        <f t="shared" si="60"/>
        <v>0</v>
      </c>
      <c r="AY54" s="288">
        <f t="shared" si="60"/>
        <v>0</v>
      </c>
      <c r="AZ54" s="227">
        <f t="shared" si="60"/>
        <v>0</v>
      </c>
      <c r="BA54" s="227">
        <f t="shared" si="60"/>
        <v>0</v>
      </c>
      <c r="BB54" s="227">
        <f t="shared" si="60"/>
        <v>0</v>
      </c>
      <c r="BC54" s="227">
        <f t="shared" si="60"/>
        <v>0</v>
      </c>
      <c r="BD54" s="227">
        <f t="shared" si="60"/>
        <v>0</v>
      </c>
      <c r="BE54" s="227">
        <f t="shared" si="60"/>
        <v>0</v>
      </c>
      <c r="BF54" s="227">
        <f t="shared" si="60"/>
        <v>0</v>
      </c>
      <c r="BG54" s="227">
        <f t="shared" si="60"/>
        <v>0</v>
      </c>
      <c r="BH54" s="227">
        <f t="shared" si="60"/>
        <v>0</v>
      </c>
      <c r="BI54" s="227">
        <f t="shared" si="60"/>
        <v>0</v>
      </c>
      <c r="BJ54" s="228">
        <f t="shared" si="60"/>
        <v>0</v>
      </c>
    </row>
    <row r="55" spans="2:62" ht="15.75">
      <c r="B55" s="235">
        <f t="shared" si="28"/>
        <v>0</v>
      </c>
      <c r="C55" s="227">
        <f aca="true" t="shared" si="61" ref="C55:AH55">+C84+C113+C142</f>
        <v>0</v>
      </c>
      <c r="D55" s="227">
        <f t="shared" si="61"/>
        <v>0</v>
      </c>
      <c r="E55" s="227">
        <f t="shared" si="61"/>
        <v>0</v>
      </c>
      <c r="F55" s="227">
        <f t="shared" si="61"/>
        <v>0</v>
      </c>
      <c r="G55" s="227">
        <f t="shared" si="61"/>
        <v>0</v>
      </c>
      <c r="H55" s="227">
        <f t="shared" si="61"/>
        <v>0</v>
      </c>
      <c r="I55" s="227">
        <f t="shared" si="61"/>
        <v>0</v>
      </c>
      <c r="J55" s="227">
        <f t="shared" si="61"/>
        <v>0</v>
      </c>
      <c r="K55" s="227">
        <f t="shared" si="61"/>
        <v>0</v>
      </c>
      <c r="L55" s="227">
        <f t="shared" si="61"/>
        <v>0</v>
      </c>
      <c r="M55" s="227">
        <f t="shared" si="61"/>
        <v>0</v>
      </c>
      <c r="N55" s="227">
        <f t="shared" si="61"/>
        <v>0</v>
      </c>
      <c r="O55" s="288">
        <f t="shared" si="61"/>
        <v>0</v>
      </c>
      <c r="P55" s="227">
        <f t="shared" si="61"/>
        <v>0</v>
      </c>
      <c r="Q55" s="227">
        <f t="shared" si="61"/>
        <v>0</v>
      </c>
      <c r="R55" s="227">
        <f t="shared" si="61"/>
        <v>0</v>
      </c>
      <c r="S55" s="227">
        <f t="shared" si="61"/>
        <v>0</v>
      </c>
      <c r="T55" s="227">
        <f t="shared" si="61"/>
        <v>0</v>
      </c>
      <c r="U55" s="227">
        <f t="shared" si="61"/>
        <v>0</v>
      </c>
      <c r="V55" s="227">
        <f t="shared" si="61"/>
        <v>0</v>
      </c>
      <c r="W55" s="227">
        <f t="shared" si="61"/>
        <v>0</v>
      </c>
      <c r="X55" s="227">
        <f t="shared" si="61"/>
        <v>0</v>
      </c>
      <c r="Y55" s="227">
        <f t="shared" si="61"/>
        <v>0</v>
      </c>
      <c r="Z55" s="228">
        <f t="shared" si="61"/>
        <v>0</v>
      </c>
      <c r="AA55" s="288">
        <f t="shared" si="61"/>
        <v>0</v>
      </c>
      <c r="AB55" s="227">
        <f t="shared" si="61"/>
        <v>0</v>
      </c>
      <c r="AC55" s="227">
        <f t="shared" si="61"/>
        <v>0</v>
      </c>
      <c r="AD55" s="227">
        <f t="shared" si="61"/>
        <v>0</v>
      </c>
      <c r="AE55" s="227">
        <f t="shared" si="61"/>
        <v>0</v>
      </c>
      <c r="AF55" s="227">
        <f t="shared" si="61"/>
        <v>0</v>
      </c>
      <c r="AG55" s="227">
        <f t="shared" si="61"/>
        <v>0</v>
      </c>
      <c r="AH55" s="227">
        <f t="shared" si="61"/>
        <v>0</v>
      </c>
      <c r="AI55" s="227">
        <f aca="true" t="shared" si="62" ref="AI55:BJ55">+AI84+AI113+AI142</f>
        <v>0</v>
      </c>
      <c r="AJ55" s="227">
        <f t="shared" si="62"/>
        <v>0</v>
      </c>
      <c r="AK55" s="227">
        <f t="shared" si="62"/>
        <v>0</v>
      </c>
      <c r="AL55" s="228">
        <f t="shared" si="62"/>
        <v>0</v>
      </c>
      <c r="AM55" s="288">
        <f t="shared" si="62"/>
        <v>0</v>
      </c>
      <c r="AN55" s="227">
        <f t="shared" si="62"/>
        <v>0</v>
      </c>
      <c r="AO55" s="227">
        <f t="shared" si="62"/>
        <v>0</v>
      </c>
      <c r="AP55" s="227">
        <f t="shared" si="62"/>
        <v>0</v>
      </c>
      <c r="AQ55" s="227">
        <f t="shared" si="62"/>
        <v>0</v>
      </c>
      <c r="AR55" s="227">
        <f t="shared" si="62"/>
        <v>0</v>
      </c>
      <c r="AS55" s="227">
        <f t="shared" si="62"/>
        <v>0</v>
      </c>
      <c r="AT55" s="227">
        <f t="shared" si="62"/>
        <v>0</v>
      </c>
      <c r="AU55" s="227">
        <f t="shared" si="62"/>
        <v>0</v>
      </c>
      <c r="AV55" s="227">
        <f t="shared" si="62"/>
        <v>0</v>
      </c>
      <c r="AW55" s="227">
        <f t="shared" si="62"/>
        <v>0</v>
      </c>
      <c r="AX55" s="228">
        <f t="shared" si="62"/>
        <v>0</v>
      </c>
      <c r="AY55" s="288">
        <f t="shared" si="62"/>
        <v>0</v>
      </c>
      <c r="AZ55" s="227">
        <f t="shared" si="62"/>
        <v>0</v>
      </c>
      <c r="BA55" s="227">
        <f t="shared" si="62"/>
        <v>0</v>
      </c>
      <c r="BB55" s="227">
        <f t="shared" si="62"/>
        <v>0</v>
      </c>
      <c r="BC55" s="227">
        <f t="shared" si="62"/>
        <v>0</v>
      </c>
      <c r="BD55" s="227">
        <f t="shared" si="62"/>
        <v>0</v>
      </c>
      <c r="BE55" s="227">
        <f t="shared" si="62"/>
        <v>0</v>
      </c>
      <c r="BF55" s="227">
        <f t="shared" si="62"/>
        <v>0</v>
      </c>
      <c r="BG55" s="227">
        <f t="shared" si="62"/>
        <v>0</v>
      </c>
      <c r="BH55" s="227">
        <f t="shared" si="62"/>
        <v>0</v>
      </c>
      <c r="BI55" s="227">
        <f t="shared" si="62"/>
        <v>0</v>
      </c>
      <c r="BJ55" s="228">
        <f t="shared" si="62"/>
        <v>0</v>
      </c>
    </row>
    <row r="56" spans="2:62" ht="15.75">
      <c r="B56" s="235">
        <f t="shared" si="28"/>
        <v>0</v>
      </c>
      <c r="C56" s="227">
        <f aca="true" t="shared" si="63" ref="C56:AH56">+C85+C114+C143</f>
        <v>0</v>
      </c>
      <c r="D56" s="227">
        <f t="shared" si="63"/>
        <v>0</v>
      </c>
      <c r="E56" s="227">
        <f t="shared" si="63"/>
        <v>0</v>
      </c>
      <c r="F56" s="227">
        <f t="shared" si="63"/>
        <v>0</v>
      </c>
      <c r="G56" s="227">
        <f t="shared" si="63"/>
        <v>0</v>
      </c>
      <c r="H56" s="227">
        <f t="shared" si="63"/>
        <v>0</v>
      </c>
      <c r="I56" s="227">
        <f t="shared" si="63"/>
        <v>0</v>
      </c>
      <c r="J56" s="227">
        <f t="shared" si="63"/>
        <v>0</v>
      </c>
      <c r="K56" s="227">
        <f t="shared" si="63"/>
        <v>0</v>
      </c>
      <c r="L56" s="227">
        <f t="shared" si="63"/>
        <v>0</v>
      </c>
      <c r="M56" s="227">
        <f t="shared" si="63"/>
        <v>0</v>
      </c>
      <c r="N56" s="227">
        <f t="shared" si="63"/>
        <v>0</v>
      </c>
      <c r="O56" s="288">
        <f t="shared" si="63"/>
        <v>0</v>
      </c>
      <c r="P56" s="227">
        <f t="shared" si="63"/>
        <v>0</v>
      </c>
      <c r="Q56" s="227">
        <f t="shared" si="63"/>
        <v>0</v>
      </c>
      <c r="R56" s="227">
        <f t="shared" si="63"/>
        <v>0</v>
      </c>
      <c r="S56" s="227">
        <f t="shared" si="63"/>
        <v>0</v>
      </c>
      <c r="T56" s="227">
        <f t="shared" si="63"/>
        <v>0</v>
      </c>
      <c r="U56" s="227">
        <f t="shared" si="63"/>
        <v>0</v>
      </c>
      <c r="V56" s="227">
        <f t="shared" si="63"/>
        <v>0</v>
      </c>
      <c r="W56" s="227">
        <f t="shared" si="63"/>
        <v>0</v>
      </c>
      <c r="X56" s="227">
        <f t="shared" si="63"/>
        <v>0</v>
      </c>
      <c r="Y56" s="227">
        <f t="shared" si="63"/>
        <v>0</v>
      </c>
      <c r="Z56" s="228">
        <f t="shared" si="63"/>
        <v>0</v>
      </c>
      <c r="AA56" s="288">
        <f t="shared" si="63"/>
        <v>0</v>
      </c>
      <c r="AB56" s="227">
        <f t="shared" si="63"/>
        <v>0</v>
      </c>
      <c r="AC56" s="227">
        <f t="shared" si="63"/>
        <v>0</v>
      </c>
      <c r="AD56" s="227">
        <f t="shared" si="63"/>
        <v>0</v>
      </c>
      <c r="AE56" s="227">
        <f t="shared" si="63"/>
        <v>0</v>
      </c>
      <c r="AF56" s="227">
        <f t="shared" si="63"/>
        <v>0</v>
      </c>
      <c r="AG56" s="227">
        <f t="shared" si="63"/>
        <v>0</v>
      </c>
      <c r="AH56" s="227">
        <f t="shared" si="63"/>
        <v>0</v>
      </c>
      <c r="AI56" s="227">
        <f aca="true" t="shared" si="64" ref="AI56:BJ56">+AI85+AI114+AI143</f>
        <v>0</v>
      </c>
      <c r="AJ56" s="227">
        <f t="shared" si="64"/>
        <v>0</v>
      </c>
      <c r="AK56" s="227">
        <f t="shared" si="64"/>
        <v>0</v>
      </c>
      <c r="AL56" s="228">
        <f t="shared" si="64"/>
        <v>0</v>
      </c>
      <c r="AM56" s="288">
        <f t="shared" si="64"/>
        <v>0</v>
      </c>
      <c r="AN56" s="227">
        <f t="shared" si="64"/>
        <v>0</v>
      </c>
      <c r="AO56" s="227">
        <f t="shared" si="64"/>
        <v>0</v>
      </c>
      <c r="AP56" s="227">
        <f t="shared" si="64"/>
        <v>0</v>
      </c>
      <c r="AQ56" s="227">
        <f t="shared" si="64"/>
        <v>0</v>
      </c>
      <c r="AR56" s="227">
        <f t="shared" si="64"/>
        <v>0</v>
      </c>
      <c r="AS56" s="227">
        <f t="shared" si="64"/>
        <v>0</v>
      </c>
      <c r="AT56" s="227">
        <f t="shared" si="64"/>
        <v>0</v>
      </c>
      <c r="AU56" s="227">
        <f t="shared" si="64"/>
        <v>0</v>
      </c>
      <c r="AV56" s="227">
        <f t="shared" si="64"/>
        <v>0</v>
      </c>
      <c r="AW56" s="227">
        <f t="shared" si="64"/>
        <v>0</v>
      </c>
      <c r="AX56" s="228">
        <f t="shared" si="64"/>
        <v>0</v>
      </c>
      <c r="AY56" s="288">
        <f t="shared" si="64"/>
        <v>0</v>
      </c>
      <c r="AZ56" s="227">
        <f t="shared" si="64"/>
        <v>0</v>
      </c>
      <c r="BA56" s="227">
        <f t="shared" si="64"/>
        <v>0</v>
      </c>
      <c r="BB56" s="227">
        <f t="shared" si="64"/>
        <v>0</v>
      </c>
      <c r="BC56" s="227">
        <f t="shared" si="64"/>
        <v>0</v>
      </c>
      <c r="BD56" s="227">
        <f t="shared" si="64"/>
        <v>0</v>
      </c>
      <c r="BE56" s="227">
        <f t="shared" si="64"/>
        <v>0</v>
      </c>
      <c r="BF56" s="227">
        <f t="shared" si="64"/>
        <v>0</v>
      </c>
      <c r="BG56" s="227">
        <f t="shared" si="64"/>
        <v>0</v>
      </c>
      <c r="BH56" s="227">
        <f t="shared" si="64"/>
        <v>0</v>
      </c>
      <c r="BI56" s="227">
        <f t="shared" si="64"/>
        <v>0</v>
      </c>
      <c r="BJ56" s="228">
        <f t="shared" si="64"/>
        <v>0</v>
      </c>
    </row>
    <row r="57" spans="2:62" ht="15.75">
      <c r="B57" s="235">
        <f t="shared" si="28"/>
        <v>0</v>
      </c>
      <c r="C57" s="227">
        <f aca="true" t="shared" si="65" ref="C57:AH57">+C86+C115+C144</f>
        <v>0</v>
      </c>
      <c r="D57" s="227">
        <f t="shared" si="65"/>
        <v>0</v>
      </c>
      <c r="E57" s="227">
        <f t="shared" si="65"/>
        <v>0</v>
      </c>
      <c r="F57" s="227">
        <f t="shared" si="65"/>
        <v>0</v>
      </c>
      <c r="G57" s="227">
        <f t="shared" si="65"/>
        <v>0</v>
      </c>
      <c r="H57" s="227">
        <f t="shared" si="65"/>
        <v>0</v>
      </c>
      <c r="I57" s="227">
        <f t="shared" si="65"/>
        <v>0</v>
      </c>
      <c r="J57" s="227">
        <f t="shared" si="65"/>
        <v>0</v>
      </c>
      <c r="K57" s="227">
        <f t="shared" si="65"/>
        <v>0</v>
      </c>
      <c r="L57" s="227">
        <f t="shared" si="65"/>
        <v>0</v>
      </c>
      <c r="M57" s="227">
        <f t="shared" si="65"/>
        <v>0</v>
      </c>
      <c r="N57" s="227">
        <f t="shared" si="65"/>
        <v>0</v>
      </c>
      <c r="O57" s="288">
        <f t="shared" si="65"/>
        <v>0</v>
      </c>
      <c r="P57" s="227">
        <f t="shared" si="65"/>
        <v>0</v>
      </c>
      <c r="Q57" s="227">
        <f t="shared" si="65"/>
        <v>0</v>
      </c>
      <c r="R57" s="227">
        <f t="shared" si="65"/>
        <v>0</v>
      </c>
      <c r="S57" s="227">
        <f t="shared" si="65"/>
        <v>0</v>
      </c>
      <c r="T57" s="227">
        <f t="shared" si="65"/>
        <v>0</v>
      </c>
      <c r="U57" s="227">
        <f t="shared" si="65"/>
        <v>0</v>
      </c>
      <c r="V57" s="227">
        <f t="shared" si="65"/>
        <v>0</v>
      </c>
      <c r="W57" s="227">
        <f t="shared" si="65"/>
        <v>0</v>
      </c>
      <c r="X57" s="227">
        <f t="shared" si="65"/>
        <v>0</v>
      </c>
      <c r="Y57" s="227">
        <f t="shared" si="65"/>
        <v>0</v>
      </c>
      <c r="Z57" s="228">
        <f t="shared" si="65"/>
        <v>0</v>
      </c>
      <c r="AA57" s="288">
        <f t="shared" si="65"/>
        <v>0</v>
      </c>
      <c r="AB57" s="227">
        <f t="shared" si="65"/>
        <v>0</v>
      </c>
      <c r="AC57" s="227">
        <f t="shared" si="65"/>
        <v>0</v>
      </c>
      <c r="AD57" s="227">
        <f t="shared" si="65"/>
        <v>0</v>
      </c>
      <c r="AE57" s="227">
        <f t="shared" si="65"/>
        <v>0</v>
      </c>
      <c r="AF57" s="227">
        <f t="shared" si="65"/>
        <v>0</v>
      </c>
      <c r="AG57" s="227">
        <f t="shared" si="65"/>
        <v>0</v>
      </c>
      <c r="AH57" s="227">
        <f t="shared" si="65"/>
        <v>0</v>
      </c>
      <c r="AI57" s="227">
        <f aca="true" t="shared" si="66" ref="AI57:BJ57">+AI86+AI115+AI144</f>
        <v>0</v>
      </c>
      <c r="AJ57" s="227">
        <f t="shared" si="66"/>
        <v>0</v>
      </c>
      <c r="AK57" s="227">
        <f t="shared" si="66"/>
        <v>0</v>
      </c>
      <c r="AL57" s="228">
        <f t="shared" si="66"/>
        <v>0</v>
      </c>
      <c r="AM57" s="288">
        <f t="shared" si="66"/>
        <v>0</v>
      </c>
      <c r="AN57" s="227">
        <f t="shared" si="66"/>
        <v>0</v>
      </c>
      <c r="AO57" s="227">
        <f t="shared" si="66"/>
        <v>0</v>
      </c>
      <c r="AP57" s="227">
        <f t="shared" si="66"/>
        <v>0</v>
      </c>
      <c r="AQ57" s="227">
        <f t="shared" si="66"/>
        <v>0</v>
      </c>
      <c r="AR57" s="227">
        <f t="shared" si="66"/>
        <v>0</v>
      </c>
      <c r="AS57" s="227">
        <f t="shared" si="66"/>
        <v>0</v>
      </c>
      <c r="AT57" s="227">
        <f t="shared" si="66"/>
        <v>0</v>
      </c>
      <c r="AU57" s="227">
        <f t="shared" si="66"/>
        <v>0</v>
      </c>
      <c r="AV57" s="227">
        <f t="shared" si="66"/>
        <v>0</v>
      </c>
      <c r="AW57" s="227">
        <f t="shared" si="66"/>
        <v>0</v>
      </c>
      <c r="AX57" s="228">
        <f t="shared" si="66"/>
        <v>0</v>
      </c>
      <c r="AY57" s="288">
        <f t="shared" si="66"/>
        <v>0</v>
      </c>
      <c r="AZ57" s="227">
        <f t="shared" si="66"/>
        <v>0</v>
      </c>
      <c r="BA57" s="227">
        <f t="shared" si="66"/>
        <v>0</v>
      </c>
      <c r="BB57" s="227">
        <f t="shared" si="66"/>
        <v>0</v>
      </c>
      <c r="BC57" s="227">
        <f t="shared" si="66"/>
        <v>0</v>
      </c>
      <c r="BD57" s="227">
        <f t="shared" si="66"/>
        <v>0</v>
      </c>
      <c r="BE57" s="227">
        <f t="shared" si="66"/>
        <v>0</v>
      </c>
      <c r="BF57" s="227">
        <f t="shared" si="66"/>
        <v>0</v>
      </c>
      <c r="BG57" s="227">
        <f t="shared" si="66"/>
        <v>0</v>
      </c>
      <c r="BH57" s="227">
        <f t="shared" si="66"/>
        <v>0</v>
      </c>
      <c r="BI57" s="227">
        <f t="shared" si="66"/>
        <v>0</v>
      </c>
      <c r="BJ57" s="228">
        <f t="shared" si="66"/>
        <v>0</v>
      </c>
    </row>
    <row r="58" spans="2:62" ht="15.75">
      <c r="B58" s="235">
        <f t="shared" si="28"/>
        <v>0</v>
      </c>
      <c r="C58" s="227">
        <f aca="true" t="shared" si="67" ref="C58:AH58">+C87+C116+C145</f>
        <v>0</v>
      </c>
      <c r="D58" s="227">
        <f t="shared" si="67"/>
        <v>0</v>
      </c>
      <c r="E58" s="227">
        <f t="shared" si="67"/>
        <v>0</v>
      </c>
      <c r="F58" s="227">
        <f t="shared" si="67"/>
        <v>0</v>
      </c>
      <c r="G58" s="227">
        <f t="shared" si="67"/>
        <v>0</v>
      </c>
      <c r="H58" s="227">
        <f t="shared" si="67"/>
        <v>0</v>
      </c>
      <c r="I58" s="227">
        <f t="shared" si="67"/>
        <v>0</v>
      </c>
      <c r="J58" s="227">
        <f t="shared" si="67"/>
        <v>0</v>
      </c>
      <c r="K58" s="227">
        <f t="shared" si="67"/>
        <v>0</v>
      </c>
      <c r="L58" s="227">
        <f t="shared" si="67"/>
        <v>0</v>
      </c>
      <c r="M58" s="227">
        <f t="shared" si="67"/>
        <v>0</v>
      </c>
      <c r="N58" s="227">
        <f t="shared" si="67"/>
        <v>0</v>
      </c>
      <c r="O58" s="288">
        <f t="shared" si="67"/>
        <v>0</v>
      </c>
      <c r="P58" s="227">
        <f t="shared" si="67"/>
        <v>0</v>
      </c>
      <c r="Q58" s="227">
        <f t="shared" si="67"/>
        <v>0</v>
      </c>
      <c r="R58" s="227">
        <f t="shared" si="67"/>
        <v>0</v>
      </c>
      <c r="S58" s="227">
        <f t="shared" si="67"/>
        <v>0</v>
      </c>
      <c r="T58" s="227">
        <f t="shared" si="67"/>
        <v>0</v>
      </c>
      <c r="U58" s="227">
        <f t="shared" si="67"/>
        <v>0</v>
      </c>
      <c r="V58" s="227">
        <f t="shared" si="67"/>
        <v>0</v>
      </c>
      <c r="W58" s="227">
        <f t="shared" si="67"/>
        <v>0</v>
      </c>
      <c r="X58" s="227">
        <f t="shared" si="67"/>
        <v>0</v>
      </c>
      <c r="Y58" s="227">
        <f t="shared" si="67"/>
        <v>0</v>
      </c>
      <c r="Z58" s="228">
        <f t="shared" si="67"/>
        <v>0</v>
      </c>
      <c r="AA58" s="288">
        <f t="shared" si="67"/>
        <v>0</v>
      </c>
      <c r="AB58" s="227">
        <f t="shared" si="67"/>
        <v>0</v>
      </c>
      <c r="AC58" s="227">
        <f t="shared" si="67"/>
        <v>0</v>
      </c>
      <c r="AD58" s="227">
        <f t="shared" si="67"/>
        <v>0</v>
      </c>
      <c r="AE58" s="227">
        <f t="shared" si="67"/>
        <v>0</v>
      </c>
      <c r="AF58" s="227">
        <f t="shared" si="67"/>
        <v>0</v>
      </c>
      <c r="AG58" s="227">
        <f t="shared" si="67"/>
        <v>0</v>
      </c>
      <c r="AH58" s="227">
        <f t="shared" si="67"/>
        <v>0</v>
      </c>
      <c r="AI58" s="227">
        <f aca="true" t="shared" si="68" ref="AI58:BJ58">+AI87+AI116+AI145</f>
        <v>0</v>
      </c>
      <c r="AJ58" s="227">
        <f t="shared" si="68"/>
        <v>0</v>
      </c>
      <c r="AK58" s="227">
        <f t="shared" si="68"/>
        <v>0</v>
      </c>
      <c r="AL58" s="228">
        <f t="shared" si="68"/>
        <v>0</v>
      </c>
      <c r="AM58" s="288">
        <f t="shared" si="68"/>
        <v>0</v>
      </c>
      <c r="AN58" s="227">
        <f t="shared" si="68"/>
        <v>0</v>
      </c>
      <c r="AO58" s="227">
        <f t="shared" si="68"/>
        <v>0</v>
      </c>
      <c r="AP58" s="227">
        <f t="shared" si="68"/>
        <v>0</v>
      </c>
      <c r="AQ58" s="227">
        <f t="shared" si="68"/>
        <v>0</v>
      </c>
      <c r="AR58" s="227">
        <f t="shared" si="68"/>
        <v>0</v>
      </c>
      <c r="AS58" s="227">
        <f t="shared" si="68"/>
        <v>0</v>
      </c>
      <c r="AT58" s="227">
        <f t="shared" si="68"/>
        <v>0</v>
      </c>
      <c r="AU58" s="227">
        <f t="shared" si="68"/>
        <v>0</v>
      </c>
      <c r="AV58" s="227">
        <f t="shared" si="68"/>
        <v>0</v>
      </c>
      <c r="AW58" s="227">
        <f t="shared" si="68"/>
        <v>0</v>
      </c>
      <c r="AX58" s="228">
        <f t="shared" si="68"/>
        <v>0</v>
      </c>
      <c r="AY58" s="288">
        <f t="shared" si="68"/>
        <v>0</v>
      </c>
      <c r="AZ58" s="227">
        <f t="shared" si="68"/>
        <v>0</v>
      </c>
      <c r="BA58" s="227">
        <f t="shared" si="68"/>
        <v>0</v>
      </c>
      <c r="BB58" s="227">
        <f t="shared" si="68"/>
        <v>0</v>
      </c>
      <c r="BC58" s="227">
        <f t="shared" si="68"/>
        <v>0</v>
      </c>
      <c r="BD58" s="227">
        <f t="shared" si="68"/>
        <v>0</v>
      </c>
      <c r="BE58" s="227">
        <f t="shared" si="68"/>
        <v>0</v>
      </c>
      <c r="BF58" s="227">
        <f t="shared" si="68"/>
        <v>0</v>
      </c>
      <c r="BG58" s="227">
        <f t="shared" si="68"/>
        <v>0</v>
      </c>
      <c r="BH58" s="227">
        <f t="shared" si="68"/>
        <v>0</v>
      </c>
      <c r="BI58" s="227">
        <f t="shared" si="68"/>
        <v>0</v>
      </c>
      <c r="BJ58" s="228">
        <f t="shared" si="68"/>
        <v>0</v>
      </c>
    </row>
    <row r="59" spans="2:62" ht="15.75">
      <c r="B59" s="235">
        <f t="shared" si="28"/>
        <v>0</v>
      </c>
      <c r="C59" s="227">
        <f aca="true" t="shared" si="69" ref="C59:AH59">+C88+C117+C146</f>
        <v>0</v>
      </c>
      <c r="D59" s="227">
        <f t="shared" si="69"/>
        <v>0</v>
      </c>
      <c r="E59" s="227">
        <f t="shared" si="69"/>
        <v>0</v>
      </c>
      <c r="F59" s="227">
        <f t="shared" si="69"/>
        <v>0</v>
      </c>
      <c r="G59" s="227">
        <f t="shared" si="69"/>
        <v>0</v>
      </c>
      <c r="H59" s="227">
        <f t="shared" si="69"/>
        <v>0</v>
      </c>
      <c r="I59" s="227">
        <f t="shared" si="69"/>
        <v>0</v>
      </c>
      <c r="J59" s="227">
        <f t="shared" si="69"/>
        <v>0</v>
      </c>
      <c r="K59" s="227">
        <f t="shared" si="69"/>
        <v>0</v>
      </c>
      <c r="L59" s="227">
        <f t="shared" si="69"/>
        <v>0</v>
      </c>
      <c r="M59" s="227">
        <f t="shared" si="69"/>
        <v>0</v>
      </c>
      <c r="N59" s="227">
        <f t="shared" si="69"/>
        <v>0</v>
      </c>
      <c r="O59" s="288">
        <f t="shared" si="69"/>
        <v>0</v>
      </c>
      <c r="P59" s="227">
        <f t="shared" si="69"/>
        <v>0</v>
      </c>
      <c r="Q59" s="227">
        <f t="shared" si="69"/>
        <v>0</v>
      </c>
      <c r="R59" s="227">
        <f t="shared" si="69"/>
        <v>0</v>
      </c>
      <c r="S59" s="227">
        <f t="shared" si="69"/>
        <v>0</v>
      </c>
      <c r="T59" s="227">
        <f t="shared" si="69"/>
        <v>0</v>
      </c>
      <c r="U59" s="227">
        <f t="shared" si="69"/>
        <v>0</v>
      </c>
      <c r="V59" s="227">
        <f t="shared" si="69"/>
        <v>0</v>
      </c>
      <c r="W59" s="227">
        <f t="shared" si="69"/>
        <v>0</v>
      </c>
      <c r="X59" s="227">
        <f t="shared" si="69"/>
        <v>0</v>
      </c>
      <c r="Y59" s="227">
        <f t="shared" si="69"/>
        <v>0</v>
      </c>
      <c r="Z59" s="228">
        <f t="shared" si="69"/>
        <v>0</v>
      </c>
      <c r="AA59" s="288">
        <f t="shared" si="69"/>
        <v>0</v>
      </c>
      <c r="AB59" s="227">
        <f t="shared" si="69"/>
        <v>0</v>
      </c>
      <c r="AC59" s="227">
        <f t="shared" si="69"/>
        <v>0</v>
      </c>
      <c r="AD59" s="227">
        <f t="shared" si="69"/>
        <v>0</v>
      </c>
      <c r="AE59" s="227">
        <f t="shared" si="69"/>
        <v>0</v>
      </c>
      <c r="AF59" s="227">
        <f t="shared" si="69"/>
        <v>0</v>
      </c>
      <c r="AG59" s="227">
        <f t="shared" si="69"/>
        <v>0</v>
      </c>
      <c r="AH59" s="227">
        <f t="shared" si="69"/>
        <v>0</v>
      </c>
      <c r="AI59" s="227">
        <f aca="true" t="shared" si="70" ref="AI59:BJ59">+AI88+AI117+AI146</f>
        <v>0</v>
      </c>
      <c r="AJ59" s="227">
        <f t="shared" si="70"/>
        <v>0</v>
      </c>
      <c r="AK59" s="227">
        <f t="shared" si="70"/>
        <v>0</v>
      </c>
      <c r="AL59" s="228">
        <f t="shared" si="70"/>
        <v>0</v>
      </c>
      <c r="AM59" s="288">
        <f t="shared" si="70"/>
        <v>0</v>
      </c>
      <c r="AN59" s="227">
        <f t="shared" si="70"/>
        <v>0</v>
      </c>
      <c r="AO59" s="227">
        <f t="shared" si="70"/>
        <v>0</v>
      </c>
      <c r="AP59" s="227">
        <f t="shared" si="70"/>
        <v>0</v>
      </c>
      <c r="AQ59" s="227">
        <f t="shared" si="70"/>
        <v>0</v>
      </c>
      <c r="AR59" s="227">
        <f t="shared" si="70"/>
        <v>0</v>
      </c>
      <c r="AS59" s="227">
        <f t="shared" si="70"/>
        <v>0</v>
      </c>
      <c r="AT59" s="227">
        <f t="shared" si="70"/>
        <v>0</v>
      </c>
      <c r="AU59" s="227">
        <f t="shared" si="70"/>
        <v>0</v>
      </c>
      <c r="AV59" s="227">
        <f t="shared" si="70"/>
        <v>0</v>
      </c>
      <c r="AW59" s="227">
        <f t="shared" si="70"/>
        <v>0</v>
      </c>
      <c r="AX59" s="228">
        <f t="shared" si="70"/>
        <v>0</v>
      </c>
      <c r="AY59" s="288">
        <f t="shared" si="70"/>
        <v>0</v>
      </c>
      <c r="AZ59" s="227">
        <f t="shared" si="70"/>
        <v>0</v>
      </c>
      <c r="BA59" s="227">
        <f t="shared" si="70"/>
        <v>0</v>
      </c>
      <c r="BB59" s="227">
        <f t="shared" si="70"/>
        <v>0</v>
      </c>
      <c r="BC59" s="227">
        <f t="shared" si="70"/>
        <v>0</v>
      </c>
      <c r="BD59" s="227">
        <f t="shared" si="70"/>
        <v>0</v>
      </c>
      <c r="BE59" s="227">
        <f t="shared" si="70"/>
        <v>0</v>
      </c>
      <c r="BF59" s="227">
        <f t="shared" si="70"/>
        <v>0</v>
      </c>
      <c r="BG59" s="227">
        <f t="shared" si="70"/>
        <v>0</v>
      </c>
      <c r="BH59" s="227">
        <f t="shared" si="70"/>
        <v>0</v>
      </c>
      <c r="BI59" s="227">
        <f t="shared" si="70"/>
        <v>0</v>
      </c>
      <c r="BJ59" s="228">
        <f t="shared" si="70"/>
        <v>0</v>
      </c>
    </row>
    <row r="60" spans="2:62" ht="15.75">
      <c r="B60" s="235">
        <f t="shared" si="28"/>
        <v>0</v>
      </c>
      <c r="C60" s="227">
        <f aca="true" t="shared" si="71" ref="C60:AH60">+C89+C118+C147</f>
        <v>0</v>
      </c>
      <c r="D60" s="227">
        <f t="shared" si="71"/>
        <v>0</v>
      </c>
      <c r="E60" s="227">
        <f t="shared" si="71"/>
        <v>0</v>
      </c>
      <c r="F60" s="227">
        <f t="shared" si="71"/>
        <v>0</v>
      </c>
      <c r="G60" s="227">
        <f t="shared" si="71"/>
        <v>0</v>
      </c>
      <c r="H60" s="227">
        <f t="shared" si="71"/>
        <v>0</v>
      </c>
      <c r="I60" s="227">
        <f t="shared" si="71"/>
        <v>0</v>
      </c>
      <c r="J60" s="227">
        <f t="shared" si="71"/>
        <v>0</v>
      </c>
      <c r="K60" s="227">
        <f t="shared" si="71"/>
        <v>0</v>
      </c>
      <c r="L60" s="227">
        <f t="shared" si="71"/>
        <v>0</v>
      </c>
      <c r="M60" s="227">
        <f t="shared" si="71"/>
        <v>0</v>
      </c>
      <c r="N60" s="227">
        <f t="shared" si="71"/>
        <v>0</v>
      </c>
      <c r="O60" s="288">
        <f t="shared" si="71"/>
        <v>0</v>
      </c>
      <c r="P60" s="227">
        <f t="shared" si="71"/>
        <v>0</v>
      </c>
      <c r="Q60" s="227">
        <f t="shared" si="71"/>
        <v>0</v>
      </c>
      <c r="R60" s="227">
        <f t="shared" si="71"/>
        <v>0</v>
      </c>
      <c r="S60" s="227">
        <f t="shared" si="71"/>
        <v>0</v>
      </c>
      <c r="T60" s="227">
        <f t="shared" si="71"/>
        <v>0</v>
      </c>
      <c r="U60" s="227">
        <f t="shared" si="71"/>
        <v>0</v>
      </c>
      <c r="V60" s="227">
        <f t="shared" si="71"/>
        <v>0</v>
      </c>
      <c r="W60" s="227">
        <f t="shared" si="71"/>
        <v>0</v>
      </c>
      <c r="X60" s="227">
        <f t="shared" si="71"/>
        <v>0</v>
      </c>
      <c r="Y60" s="227">
        <f t="shared" si="71"/>
        <v>0</v>
      </c>
      <c r="Z60" s="228">
        <f t="shared" si="71"/>
        <v>0</v>
      </c>
      <c r="AA60" s="288">
        <f t="shared" si="71"/>
        <v>0</v>
      </c>
      <c r="AB60" s="227">
        <f t="shared" si="71"/>
        <v>0</v>
      </c>
      <c r="AC60" s="227">
        <f t="shared" si="71"/>
        <v>0</v>
      </c>
      <c r="AD60" s="227">
        <f t="shared" si="71"/>
        <v>0</v>
      </c>
      <c r="AE60" s="227">
        <f t="shared" si="71"/>
        <v>0</v>
      </c>
      <c r="AF60" s="227">
        <f t="shared" si="71"/>
        <v>0</v>
      </c>
      <c r="AG60" s="227">
        <f t="shared" si="71"/>
        <v>0</v>
      </c>
      <c r="AH60" s="227">
        <f t="shared" si="71"/>
        <v>0</v>
      </c>
      <c r="AI60" s="227">
        <f aca="true" t="shared" si="72" ref="AI60:BJ60">+AI89+AI118+AI147</f>
        <v>0</v>
      </c>
      <c r="AJ60" s="227">
        <f t="shared" si="72"/>
        <v>0</v>
      </c>
      <c r="AK60" s="227">
        <f t="shared" si="72"/>
        <v>0</v>
      </c>
      <c r="AL60" s="228">
        <f t="shared" si="72"/>
        <v>0</v>
      </c>
      <c r="AM60" s="288">
        <f t="shared" si="72"/>
        <v>0</v>
      </c>
      <c r="AN60" s="227">
        <f t="shared" si="72"/>
        <v>0</v>
      </c>
      <c r="AO60" s="227">
        <f t="shared" si="72"/>
        <v>0</v>
      </c>
      <c r="AP60" s="227">
        <f t="shared" si="72"/>
        <v>0</v>
      </c>
      <c r="AQ60" s="227">
        <f t="shared" si="72"/>
        <v>0</v>
      </c>
      <c r="AR60" s="227">
        <f t="shared" si="72"/>
        <v>0</v>
      </c>
      <c r="AS60" s="227">
        <f t="shared" si="72"/>
        <v>0</v>
      </c>
      <c r="AT60" s="227">
        <f t="shared" si="72"/>
        <v>0</v>
      </c>
      <c r="AU60" s="227">
        <f t="shared" si="72"/>
        <v>0</v>
      </c>
      <c r="AV60" s="227">
        <f t="shared" si="72"/>
        <v>0</v>
      </c>
      <c r="AW60" s="227">
        <f t="shared" si="72"/>
        <v>0</v>
      </c>
      <c r="AX60" s="228">
        <f t="shared" si="72"/>
        <v>0</v>
      </c>
      <c r="AY60" s="288">
        <f t="shared" si="72"/>
        <v>0</v>
      </c>
      <c r="AZ60" s="227">
        <f t="shared" si="72"/>
        <v>0</v>
      </c>
      <c r="BA60" s="227">
        <f t="shared" si="72"/>
        <v>0</v>
      </c>
      <c r="BB60" s="227">
        <f t="shared" si="72"/>
        <v>0</v>
      </c>
      <c r="BC60" s="227">
        <f t="shared" si="72"/>
        <v>0</v>
      </c>
      <c r="BD60" s="227">
        <f t="shared" si="72"/>
        <v>0</v>
      </c>
      <c r="BE60" s="227">
        <f t="shared" si="72"/>
        <v>0</v>
      </c>
      <c r="BF60" s="227">
        <f t="shared" si="72"/>
        <v>0</v>
      </c>
      <c r="BG60" s="227">
        <f t="shared" si="72"/>
        <v>0</v>
      </c>
      <c r="BH60" s="227">
        <f t="shared" si="72"/>
        <v>0</v>
      </c>
      <c r="BI60" s="227">
        <f t="shared" si="72"/>
        <v>0</v>
      </c>
      <c r="BJ60" s="228">
        <f t="shared" si="72"/>
        <v>0</v>
      </c>
    </row>
    <row r="61" spans="2:62" ht="16.2" thickBot="1">
      <c r="B61" s="241"/>
      <c r="C61" s="229"/>
      <c r="D61" s="229"/>
      <c r="E61" s="229"/>
      <c r="F61" s="229"/>
      <c r="G61" s="229"/>
      <c r="H61" s="229"/>
      <c r="I61" s="229"/>
      <c r="J61" s="229"/>
      <c r="K61" s="229"/>
      <c r="L61" s="229"/>
      <c r="M61" s="229"/>
      <c r="N61" s="229"/>
      <c r="O61" s="289"/>
      <c r="P61" s="229"/>
      <c r="Q61" s="229"/>
      <c r="R61" s="229"/>
      <c r="S61" s="229"/>
      <c r="T61" s="229"/>
      <c r="U61" s="229"/>
      <c r="V61" s="229"/>
      <c r="W61" s="229"/>
      <c r="X61" s="229"/>
      <c r="Y61" s="229"/>
      <c r="Z61" s="230"/>
      <c r="AA61" s="289"/>
      <c r="AB61" s="229"/>
      <c r="AC61" s="229"/>
      <c r="AD61" s="229"/>
      <c r="AE61" s="229"/>
      <c r="AF61" s="229"/>
      <c r="AG61" s="229"/>
      <c r="AH61" s="229"/>
      <c r="AI61" s="229"/>
      <c r="AJ61" s="229"/>
      <c r="AK61" s="229"/>
      <c r="AL61" s="230"/>
      <c r="AM61" s="289"/>
      <c r="AN61" s="229"/>
      <c r="AO61" s="229"/>
      <c r="AP61" s="229"/>
      <c r="AQ61" s="229"/>
      <c r="AR61" s="229"/>
      <c r="AS61" s="229"/>
      <c r="AT61" s="229"/>
      <c r="AU61" s="229"/>
      <c r="AV61" s="229"/>
      <c r="AW61" s="229"/>
      <c r="AX61" s="230"/>
      <c r="AY61" s="289"/>
      <c r="AZ61" s="229"/>
      <c r="BA61" s="229"/>
      <c r="BB61" s="229"/>
      <c r="BC61" s="229"/>
      <c r="BD61" s="229"/>
      <c r="BE61" s="229"/>
      <c r="BF61" s="229"/>
      <c r="BG61" s="229"/>
      <c r="BH61" s="229"/>
      <c r="BI61" s="229"/>
      <c r="BJ61" s="230"/>
    </row>
    <row r="62" ht="15.75">
      <c r="B62" s="237"/>
    </row>
    <row r="63" ht="16.2" thickBot="1">
      <c r="F63" s="218"/>
    </row>
    <row r="64" spans="2:62" ht="15.75">
      <c r="B64" s="1603" t="s">
        <v>226</v>
      </c>
      <c r="C64" s="1579">
        <f>C35</f>
        <v>2020</v>
      </c>
      <c r="D64" s="1579"/>
      <c r="E64" s="1579"/>
      <c r="F64" s="1579"/>
      <c r="G64" s="1579"/>
      <c r="H64" s="1579"/>
      <c r="I64" s="1579"/>
      <c r="J64" s="1579"/>
      <c r="K64" s="1579"/>
      <c r="L64" s="1579"/>
      <c r="M64" s="1579"/>
      <c r="N64" s="1580"/>
      <c r="O64" s="1595">
        <f>1+C64</f>
        <v>2021</v>
      </c>
      <c r="P64" s="1579"/>
      <c r="Q64" s="1579"/>
      <c r="R64" s="1579"/>
      <c r="S64" s="1579"/>
      <c r="T64" s="1579"/>
      <c r="U64" s="1579"/>
      <c r="V64" s="1579"/>
      <c r="W64" s="1579"/>
      <c r="X64" s="1579"/>
      <c r="Y64" s="1579"/>
      <c r="Z64" s="1580"/>
      <c r="AA64" s="1595">
        <f>1+O64</f>
        <v>2022</v>
      </c>
      <c r="AB64" s="1579"/>
      <c r="AC64" s="1579"/>
      <c r="AD64" s="1579"/>
      <c r="AE64" s="1579"/>
      <c r="AF64" s="1579"/>
      <c r="AG64" s="1579"/>
      <c r="AH64" s="1579"/>
      <c r="AI64" s="1579"/>
      <c r="AJ64" s="1579"/>
      <c r="AK64" s="1579"/>
      <c r="AL64" s="1580"/>
      <c r="AM64" s="1595">
        <f>1+AA64</f>
        <v>2023</v>
      </c>
      <c r="AN64" s="1579"/>
      <c r="AO64" s="1579"/>
      <c r="AP64" s="1579"/>
      <c r="AQ64" s="1579"/>
      <c r="AR64" s="1579"/>
      <c r="AS64" s="1579"/>
      <c r="AT64" s="1579"/>
      <c r="AU64" s="1579"/>
      <c r="AV64" s="1579"/>
      <c r="AW64" s="1579"/>
      <c r="AX64" s="1580"/>
      <c r="AY64" s="1595">
        <f>1+AM64</f>
        <v>2024</v>
      </c>
      <c r="AZ64" s="1579"/>
      <c r="BA64" s="1579"/>
      <c r="BB64" s="1579"/>
      <c r="BC64" s="1579"/>
      <c r="BD64" s="1579"/>
      <c r="BE64" s="1579"/>
      <c r="BF64" s="1579"/>
      <c r="BG64" s="1579"/>
      <c r="BH64" s="1579"/>
      <c r="BI64" s="1579"/>
      <c r="BJ64" s="1580"/>
    </row>
    <row r="65" spans="2:62" ht="16.2" thickBot="1">
      <c r="B65" s="1604"/>
      <c r="C65" s="1581"/>
      <c r="D65" s="1581"/>
      <c r="E65" s="1581"/>
      <c r="F65" s="1581"/>
      <c r="G65" s="1581"/>
      <c r="H65" s="1581"/>
      <c r="I65" s="1581"/>
      <c r="J65" s="1581"/>
      <c r="K65" s="1581"/>
      <c r="L65" s="1581"/>
      <c r="M65" s="1581"/>
      <c r="N65" s="1582"/>
      <c r="O65" s="1596"/>
      <c r="P65" s="1581"/>
      <c r="Q65" s="1581"/>
      <c r="R65" s="1581"/>
      <c r="S65" s="1581"/>
      <c r="T65" s="1581"/>
      <c r="U65" s="1581"/>
      <c r="V65" s="1581"/>
      <c r="W65" s="1581"/>
      <c r="X65" s="1581"/>
      <c r="Y65" s="1581"/>
      <c r="Z65" s="1582"/>
      <c r="AA65" s="1596"/>
      <c r="AB65" s="1581"/>
      <c r="AC65" s="1581"/>
      <c r="AD65" s="1581"/>
      <c r="AE65" s="1581"/>
      <c r="AF65" s="1581"/>
      <c r="AG65" s="1581"/>
      <c r="AH65" s="1581"/>
      <c r="AI65" s="1581"/>
      <c r="AJ65" s="1581"/>
      <c r="AK65" s="1581"/>
      <c r="AL65" s="1582"/>
      <c r="AM65" s="1596"/>
      <c r="AN65" s="1581"/>
      <c r="AO65" s="1581"/>
      <c r="AP65" s="1581"/>
      <c r="AQ65" s="1581"/>
      <c r="AR65" s="1581"/>
      <c r="AS65" s="1581"/>
      <c r="AT65" s="1581"/>
      <c r="AU65" s="1581"/>
      <c r="AV65" s="1581"/>
      <c r="AW65" s="1581"/>
      <c r="AX65" s="1582"/>
      <c r="AY65" s="1596"/>
      <c r="AZ65" s="1581"/>
      <c r="BA65" s="1581"/>
      <c r="BB65" s="1581"/>
      <c r="BC65" s="1581"/>
      <c r="BD65" s="1581"/>
      <c r="BE65" s="1581"/>
      <c r="BF65" s="1581"/>
      <c r="BG65" s="1581"/>
      <c r="BH65" s="1581"/>
      <c r="BI65" s="1581"/>
      <c r="BJ65" s="1582"/>
    </row>
    <row r="66" spans="2:62" ht="16.2" thickBot="1">
      <c r="B66" s="1604"/>
      <c r="C66" s="275" t="s">
        <v>187</v>
      </c>
      <c r="D66" s="275" t="s">
        <v>188</v>
      </c>
      <c r="E66" s="275" t="s">
        <v>189</v>
      </c>
      <c r="F66" s="275" t="s">
        <v>190</v>
      </c>
      <c r="G66" s="275" t="s">
        <v>8</v>
      </c>
      <c r="H66" s="275" t="s">
        <v>191</v>
      </c>
      <c r="I66" s="275" t="s">
        <v>192</v>
      </c>
      <c r="J66" s="275" t="s">
        <v>193</v>
      </c>
      <c r="K66" s="275" t="s">
        <v>194</v>
      </c>
      <c r="L66" s="275" t="s">
        <v>195</v>
      </c>
      <c r="M66" s="275" t="s">
        <v>196</v>
      </c>
      <c r="N66" s="275" t="s">
        <v>197</v>
      </c>
      <c r="O66" s="274" t="s">
        <v>187</v>
      </c>
      <c r="P66" s="275" t="s">
        <v>188</v>
      </c>
      <c r="Q66" s="275" t="s">
        <v>189</v>
      </c>
      <c r="R66" s="275" t="s">
        <v>190</v>
      </c>
      <c r="S66" s="275" t="s">
        <v>8</v>
      </c>
      <c r="T66" s="275" t="s">
        <v>191</v>
      </c>
      <c r="U66" s="275" t="s">
        <v>192</v>
      </c>
      <c r="V66" s="275" t="s">
        <v>193</v>
      </c>
      <c r="W66" s="275" t="s">
        <v>194</v>
      </c>
      <c r="X66" s="275" t="s">
        <v>195</v>
      </c>
      <c r="Y66" s="275" t="s">
        <v>196</v>
      </c>
      <c r="Z66" s="276" t="s">
        <v>197</v>
      </c>
      <c r="AA66" s="274" t="s">
        <v>187</v>
      </c>
      <c r="AB66" s="275" t="s">
        <v>188</v>
      </c>
      <c r="AC66" s="275" t="s">
        <v>189</v>
      </c>
      <c r="AD66" s="275" t="s">
        <v>190</v>
      </c>
      <c r="AE66" s="275" t="s">
        <v>8</v>
      </c>
      <c r="AF66" s="275" t="s">
        <v>191</v>
      </c>
      <c r="AG66" s="275" t="s">
        <v>192</v>
      </c>
      <c r="AH66" s="275" t="s">
        <v>193</v>
      </c>
      <c r="AI66" s="275" t="s">
        <v>194</v>
      </c>
      <c r="AJ66" s="275" t="s">
        <v>195</v>
      </c>
      <c r="AK66" s="275" t="s">
        <v>196</v>
      </c>
      <c r="AL66" s="276" t="s">
        <v>197</v>
      </c>
      <c r="AM66" s="274" t="s">
        <v>187</v>
      </c>
      <c r="AN66" s="275" t="s">
        <v>188</v>
      </c>
      <c r="AO66" s="275" t="s">
        <v>189</v>
      </c>
      <c r="AP66" s="275" t="s">
        <v>190</v>
      </c>
      <c r="AQ66" s="275" t="s">
        <v>8</v>
      </c>
      <c r="AR66" s="275" t="s">
        <v>191</v>
      </c>
      <c r="AS66" s="275" t="s">
        <v>192</v>
      </c>
      <c r="AT66" s="275" t="s">
        <v>193</v>
      </c>
      <c r="AU66" s="275" t="s">
        <v>194</v>
      </c>
      <c r="AV66" s="275" t="s">
        <v>195</v>
      </c>
      <c r="AW66" s="275" t="s">
        <v>196</v>
      </c>
      <c r="AX66" s="276" t="s">
        <v>197</v>
      </c>
      <c r="AY66" s="414" t="s">
        <v>187</v>
      </c>
      <c r="AZ66" s="275" t="s">
        <v>188</v>
      </c>
      <c r="BA66" s="275" t="s">
        <v>189</v>
      </c>
      <c r="BB66" s="275" t="s">
        <v>190</v>
      </c>
      <c r="BC66" s="275" t="s">
        <v>8</v>
      </c>
      <c r="BD66" s="275" t="s">
        <v>191</v>
      </c>
      <c r="BE66" s="275" t="s">
        <v>192</v>
      </c>
      <c r="BF66" s="275" t="s">
        <v>193</v>
      </c>
      <c r="BG66" s="275" t="s">
        <v>194</v>
      </c>
      <c r="BH66" s="275" t="s">
        <v>195</v>
      </c>
      <c r="BI66" s="275" t="s">
        <v>196</v>
      </c>
      <c r="BJ66" s="415" t="s">
        <v>197</v>
      </c>
    </row>
    <row r="67" spans="2:62" ht="15.75">
      <c r="B67" s="238" t="s">
        <v>163</v>
      </c>
      <c r="C67" s="239">
        <f aca="true" t="shared" si="73" ref="C67:AH67">SUM(C68:C90)</f>
        <v>3077.3128961347884</v>
      </c>
      <c r="D67" s="239">
        <f t="shared" si="73"/>
        <v>3077.3128961347884</v>
      </c>
      <c r="E67" s="239">
        <f t="shared" si="73"/>
        <v>2258</v>
      </c>
      <c r="F67" s="239">
        <f t="shared" si="73"/>
        <v>2070</v>
      </c>
      <c r="G67" s="239">
        <f t="shared" si="73"/>
        <v>1505</v>
      </c>
      <c r="H67" s="239">
        <f t="shared" si="73"/>
        <v>1505</v>
      </c>
      <c r="I67" s="239">
        <f t="shared" si="73"/>
        <v>941</v>
      </c>
      <c r="J67" s="239">
        <f t="shared" si="73"/>
        <v>941</v>
      </c>
      <c r="K67" s="239">
        <f t="shared" si="73"/>
        <v>5500</v>
      </c>
      <c r="L67" s="239">
        <f t="shared" si="73"/>
        <v>7166.666666666667</v>
      </c>
      <c r="M67" s="239">
        <f t="shared" si="73"/>
        <v>7166.666666666667</v>
      </c>
      <c r="N67" s="239">
        <f t="shared" si="73"/>
        <v>7166.666666666667</v>
      </c>
      <c r="O67" s="287">
        <f t="shared" si="73"/>
        <v>12499.999999999998</v>
      </c>
      <c r="P67" s="239">
        <f t="shared" si="73"/>
        <v>12499.999999999998</v>
      </c>
      <c r="Q67" s="239">
        <f t="shared" si="73"/>
        <v>12499.999999999998</v>
      </c>
      <c r="R67" s="239">
        <f t="shared" si="73"/>
        <v>12499.999999999998</v>
      </c>
      <c r="S67" s="239">
        <f t="shared" si="73"/>
        <v>12499.999999999998</v>
      </c>
      <c r="T67" s="239">
        <f t="shared" si="73"/>
        <v>12499.999999999998</v>
      </c>
      <c r="U67" s="239">
        <f t="shared" si="73"/>
        <v>12499.999999999998</v>
      </c>
      <c r="V67" s="239">
        <f t="shared" si="73"/>
        <v>12499.999999999998</v>
      </c>
      <c r="W67" s="239">
        <f t="shared" si="73"/>
        <v>12499.999999999998</v>
      </c>
      <c r="X67" s="239">
        <f t="shared" si="73"/>
        <v>12499.999999999998</v>
      </c>
      <c r="Y67" s="239">
        <f t="shared" si="73"/>
        <v>12499.999999999998</v>
      </c>
      <c r="Z67" s="240">
        <f t="shared" si="73"/>
        <v>12499.999999999998</v>
      </c>
      <c r="AA67" s="287">
        <f t="shared" si="73"/>
        <v>22000</v>
      </c>
      <c r="AB67" s="239">
        <f t="shared" si="73"/>
        <v>22000</v>
      </c>
      <c r="AC67" s="239">
        <f t="shared" si="73"/>
        <v>22000</v>
      </c>
      <c r="AD67" s="239">
        <f t="shared" si="73"/>
        <v>22000</v>
      </c>
      <c r="AE67" s="239">
        <f t="shared" si="73"/>
        <v>22000</v>
      </c>
      <c r="AF67" s="239">
        <f t="shared" si="73"/>
        <v>22000</v>
      </c>
      <c r="AG67" s="239">
        <f t="shared" si="73"/>
        <v>22000</v>
      </c>
      <c r="AH67" s="239">
        <f t="shared" si="73"/>
        <v>22000</v>
      </c>
      <c r="AI67" s="239">
        <f aca="true" t="shared" si="74" ref="AI67:BJ67">SUM(AI68:AI90)</f>
        <v>22000</v>
      </c>
      <c r="AJ67" s="239">
        <f t="shared" si="74"/>
        <v>22000</v>
      </c>
      <c r="AK67" s="239">
        <f t="shared" si="74"/>
        <v>22000</v>
      </c>
      <c r="AL67" s="240">
        <f t="shared" si="74"/>
        <v>22000</v>
      </c>
      <c r="AM67" s="287">
        <f t="shared" si="74"/>
        <v>22500</v>
      </c>
      <c r="AN67" s="239">
        <f t="shared" si="74"/>
        <v>22500</v>
      </c>
      <c r="AO67" s="239">
        <f t="shared" si="74"/>
        <v>22500</v>
      </c>
      <c r="AP67" s="239">
        <f t="shared" si="74"/>
        <v>22500</v>
      </c>
      <c r="AQ67" s="239">
        <f t="shared" si="74"/>
        <v>22500</v>
      </c>
      <c r="AR67" s="239">
        <f t="shared" si="74"/>
        <v>22500</v>
      </c>
      <c r="AS67" s="239">
        <f t="shared" si="74"/>
        <v>22500</v>
      </c>
      <c r="AT67" s="239">
        <f t="shared" si="74"/>
        <v>22500</v>
      </c>
      <c r="AU67" s="239">
        <f t="shared" si="74"/>
        <v>22500</v>
      </c>
      <c r="AV67" s="239">
        <f t="shared" si="74"/>
        <v>22500</v>
      </c>
      <c r="AW67" s="239">
        <f t="shared" si="74"/>
        <v>22500</v>
      </c>
      <c r="AX67" s="240">
        <f t="shared" si="74"/>
        <v>22500</v>
      </c>
      <c r="AY67" s="287">
        <f t="shared" si="74"/>
        <v>26666.666666666664</v>
      </c>
      <c r="AZ67" s="239">
        <f t="shared" si="74"/>
        <v>26666.666666666664</v>
      </c>
      <c r="BA67" s="239">
        <f t="shared" si="74"/>
        <v>26666.666666666664</v>
      </c>
      <c r="BB67" s="239">
        <f t="shared" si="74"/>
        <v>26666.666666666664</v>
      </c>
      <c r="BC67" s="239">
        <f t="shared" si="74"/>
        <v>26666.666666666664</v>
      </c>
      <c r="BD67" s="239">
        <f t="shared" si="74"/>
        <v>26666.666666666664</v>
      </c>
      <c r="BE67" s="239">
        <f t="shared" si="74"/>
        <v>26666.666666666664</v>
      </c>
      <c r="BF67" s="239">
        <f t="shared" si="74"/>
        <v>26666.666666666664</v>
      </c>
      <c r="BG67" s="239">
        <f t="shared" si="74"/>
        <v>26666.666666666664</v>
      </c>
      <c r="BH67" s="239">
        <f t="shared" si="74"/>
        <v>26666.666666666664</v>
      </c>
      <c r="BI67" s="239">
        <f t="shared" si="74"/>
        <v>26666.666666666664</v>
      </c>
      <c r="BJ67" s="240">
        <f t="shared" si="74"/>
        <v>26666.666666666664</v>
      </c>
    </row>
    <row r="68" spans="2:62" ht="15.75">
      <c r="B68" s="215" t="str">
        <f aca="true" t="shared" si="75" ref="B68:B89">B11</f>
        <v>CEO</v>
      </c>
      <c r="C68" s="227">
        <v>1583.4240072459</v>
      </c>
      <c r="D68" s="227">
        <v>1583.4240072459</v>
      </c>
      <c r="E68" s="227">
        <v>753</v>
      </c>
      <c r="F68" s="227">
        <v>690</v>
      </c>
      <c r="G68" s="227">
        <v>501</v>
      </c>
      <c r="H68" s="227">
        <v>501</v>
      </c>
      <c r="I68" s="227">
        <v>315</v>
      </c>
      <c r="J68" s="227">
        <v>315</v>
      </c>
      <c r="K68" s="227">
        <v>1833.3333333333333</v>
      </c>
      <c r="L68" s="227">
        <v>1833.3333333333333</v>
      </c>
      <c r="M68" s="227">
        <v>1833.3333333333333</v>
      </c>
      <c r="N68" s="227">
        <v>1833.3333333333333</v>
      </c>
      <c r="O68" s="288">
        <f>+Assumptions!$E156/12*Assumptions!$E130</f>
        <v>1833.3333333333333</v>
      </c>
      <c r="P68" s="227">
        <f>+Assumptions!$E156/12*Assumptions!$E130</f>
        <v>1833.3333333333333</v>
      </c>
      <c r="Q68" s="227">
        <f>+Assumptions!$E156/12*Assumptions!$E130</f>
        <v>1833.3333333333333</v>
      </c>
      <c r="R68" s="227">
        <f>+Assumptions!$E156/12*Assumptions!$E130</f>
        <v>1833.3333333333333</v>
      </c>
      <c r="S68" s="227">
        <f>+Assumptions!$E156/12*Assumptions!$E130</f>
        <v>1833.3333333333333</v>
      </c>
      <c r="T68" s="227">
        <f>+Assumptions!$E156/12*Assumptions!$E130</f>
        <v>1833.3333333333333</v>
      </c>
      <c r="U68" s="227">
        <f>+Assumptions!$E156/12*Assumptions!$E130</f>
        <v>1833.3333333333333</v>
      </c>
      <c r="V68" s="227">
        <f>+Assumptions!$E156/12*Assumptions!$E130</f>
        <v>1833.3333333333333</v>
      </c>
      <c r="W68" s="227">
        <f>+Assumptions!$E156/12*Assumptions!$E130</f>
        <v>1833.3333333333333</v>
      </c>
      <c r="X68" s="227">
        <f>+Assumptions!$E156/12*Assumptions!$E130</f>
        <v>1833.3333333333333</v>
      </c>
      <c r="Y68" s="227">
        <f>+Assumptions!$E156/12*Assumptions!$E130</f>
        <v>1833.3333333333333</v>
      </c>
      <c r="Z68" s="228">
        <f>+Assumptions!$E156/12*Assumptions!$E130</f>
        <v>1833.3333333333333</v>
      </c>
      <c r="AA68" s="288">
        <f>+Assumptions!$F156/12*Assumptions!$F130</f>
        <v>2083.3333333333335</v>
      </c>
      <c r="AB68" s="227">
        <f>+Assumptions!$F156/12*Assumptions!$F130</f>
        <v>2083.3333333333335</v>
      </c>
      <c r="AC68" s="227">
        <f>+Assumptions!$F156/12*Assumptions!$F130</f>
        <v>2083.3333333333335</v>
      </c>
      <c r="AD68" s="227">
        <f>+Assumptions!$F156/12*Assumptions!$F130</f>
        <v>2083.3333333333335</v>
      </c>
      <c r="AE68" s="227">
        <f>+Assumptions!$F156/12*Assumptions!$F130</f>
        <v>2083.3333333333335</v>
      </c>
      <c r="AF68" s="227">
        <f>+Assumptions!$F156/12*Assumptions!$F130</f>
        <v>2083.3333333333335</v>
      </c>
      <c r="AG68" s="227">
        <f>+Assumptions!$F156/12*Assumptions!$F130</f>
        <v>2083.3333333333335</v>
      </c>
      <c r="AH68" s="227">
        <f>+Assumptions!$F156/12*Assumptions!$F130</f>
        <v>2083.3333333333335</v>
      </c>
      <c r="AI68" s="227">
        <f>+Assumptions!$F156/12*Assumptions!$F130</f>
        <v>2083.3333333333335</v>
      </c>
      <c r="AJ68" s="227">
        <f>+Assumptions!$F156/12*Assumptions!$F130</f>
        <v>2083.3333333333335</v>
      </c>
      <c r="AK68" s="227">
        <f>+Assumptions!$F156/12*Assumptions!$F130</f>
        <v>2083.3333333333335</v>
      </c>
      <c r="AL68" s="228">
        <f>+Assumptions!$F156/12*Assumptions!$F130</f>
        <v>2083.3333333333335</v>
      </c>
      <c r="AM68" s="288">
        <f>+Assumptions!$G156/12*Assumptions!$G130</f>
        <v>2166.6666666666665</v>
      </c>
      <c r="AN68" s="227">
        <f>+Assumptions!$G156/12*Assumptions!$G130</f>
        <v>2166.6666666666665</v>
      </c>
      <c r="AO68" s="227">
        <f>+Assumptions!$G156/12*Assumptions!$G130</f>
        <v>2166.6666666666665</v>
      </c>
      <c r="AP68" s="227">
        <f>+Assumptions!$G156/12*Assumptions!$G130</f>
        <v>2166.6666666666665</v>
      </c>
      <c r="AQ68" s="227">
        <f>+Assumptions!$G156/12*Assumptions!$G130</f>
        <v>2166.6666666666665</v>
      </c>
      <c r="AR68" s="227">
        <f>+Assumptions!$G156/12*Assumptions!$G130</f>
        <v>2166.6666666666665</v>
      </c>
      <c r="AS68" s="227">
        <f>+Assumptions!$G156/12*Assumptions!$G130</f>
        <v>2166.6666666666665</v>
      </c>
      <c r="AT68" s="227">
        <f>+Assumptions!$G156/12*Assumptions!$G130</f>
        <v>2166.6666666666665</v>
      </c>
      <c r="AU68" s="227">
        <f>+Assumptions!$G156/12*Assumptions!$G130</f>
        <v>2166.6666666666665</v>
      </c>
      <c r="AV68" s="227">
        <f>+Assumptions!$G156/12*Assumptions!$G130</f>
        <v>2166.6666666666665</v>
      </c>
      <c r="AW68" s="227">
        <f>+Assumptions!$G156/12*Assumptions!$G130</f>
        <v>2166.6666666666665</v>
      </c>
      <c r="AX68" s="228">
        <f>+Assumptions!$G156/12*Assumptions!$G130</f>
        <v>2166.6666666666665</v>
      </c>
      <c r="AY68" s="288">
        <f>+Assumptions!$H156/12*Assumptions!$H130</f>
        <v>2500</v>
      </c>
      <c r="AZ68" s="227">
        <f>+Assumptions!$H156/12*Assumptions!$H130</f>
        <v>2500</v>
      </c>
      <c r="BA68" s="227">
        <f>+Assumptions!$H156/12*Assumptions!$H130</f>
        <v>2500</v>
      </c>
      <c r="BB68" s="227">
        <f>+Assumptions!$H156/12*Assumptions!$H130</f>
        <v>2500</v>
      </c>
      <c r="BC68" s="227">
        <f>+Assumptions!$H156/12*Assumptions!$H130</f>
        <v>2500</v>
      </c>
      <c r="BD68" s="227">
        <f>+Assumptions!$H156/12*Assumptions!$H130</f>
        <v>2500</v>
      </c>
      <c r="BE68" s="227">
        <f>+Assumptions!$H156/12*Assumptions!$H130</f>
        <v>2500</v>
      </c>
      <c r="BF68" s="227">
        <f>+Assumptions!$H156/12*Assumptions!$H130</f>
        <v>2500</v>
      </c>
      <c r="BG68" s="227">
        <f>+Assumptions!$H156/12*Assumptions!$H130</f>
        <v>2500</v>
      </c>
      <c r="BH68" s="227">
        <f>+Assumptions!$H156/12*Assumptions!$H130</f>
        <v>2500</v>
      </c>
      <c r="BI68" s="227">
        <f>+Assumptions!$H156/12*Assumptions!$H130</f>
        <v>2500</v>
      </c>
      <c r="BJ68" s="228">
        <f>+Assumptions!$H156/12*Assumptions!$H130</f>
        <v>2500</v>
      </c>
    </row>
    <row r="69" spans="2:62" ht="15.75">
      <c r="B69" s="215" t="str">
        <f t="shared" si="75"/>
        <v>COO</v>
      </c>
      <c r="C69" s="227">
        <f>+Assumptions!$D157/12*Assumptions!$D131</f>
        <v>746.9444444444443</v>
      </c>
      <c r="D69" s="227">
        <f>+Assumptions!$D157/12*Assumptions!$D131</f>
        <v>746.9444444444443</v>
      </c>
      <c r="E69" s="227">
        <v>753</v>
      </c>
      <c r="F69" s="227">
        <v>690</v>
      </c>
      <c r="G69" s="227">
        <v>502</v>
      </c>
      <c r="H69" s="227">
        <v>502</v>
      </c>
      <c r="I69" s="227">
        <v>313</v>
      </c>
      <c r="J69" s="227">
        <v>313</v>
      </c>
      <c r="K69" s="227">
        <v>1833.3333333333333</v>
      </c>
      <c r="L69" s="227">
        <v>1833.3333333333333</v>
      </c>
      <c r="M69" s="227">
        <v>1833.3333333333333</v>
      </c>
      <c r="N69" s="227">
        <v>1833.3333333333333</v>
      </c>
      <c r="O69" s="288">
        <f>+Assumptions!$E157/12*Assumptions!$E131</f>
        <v>1833.3333333333333</v>
      </c>
      <c r="P69" s="227">
        <f>+Assumptions!$E157/12*Assumptions!$E131</f>
        <v>1833.3333333333333</v>
      </c>
      <c r="Q69" s="227">
        <f>+Assumptions!$E157/12*Assumptions!$E131</f>
        <v>1833.3333333333333</v>
      </c>
      <c r="R69" s="227">
        <f>+Assumptions!$E157/12*Assumptions!$E131</f>
        <v>1833.3333333333333</v>
      </c>
      <c r="S69" s="227">
        <f>+Assumptions!$E157/12*Assumptions!$E131</f>
        <v>1833.3333333333333</v>
      </c>
      <c r="T69" s="227">
        <f>+Assumptions!$E157/12*Assumptions!$E131</f>
        <v>1833.3333333333333</v>
      </c>
      <c r="U69" s="227">
        <f>+Assumptions!$E157/12*Assumptions!$E131</f>
        <v>1833.3333333333333</v>
      </c>
      <c r="V69" s="227">
        <f>+Assumptions!$E157/12*Assumptions!$E131</f>
        <v>1833.3333333333333</v>
      </c>
      <c r="W69" s="227">
        <f>+Assumptions!$E157/12*Assumptions!$E131</f>
        <v>1833.3333333333333</v>
      </c>
      <c r="X69" s="227">
        <f>+Assumptions!$E157/12*Assumptions!$E131</f>
        <v>1833.3333333333333</v>
      </c>
      <c r="Y69" s="227">
        <f>+Assumptions!$E157/12*Assumptions!$E131</f>
        <v>1833.3333333333333</v>
      </c>
      <c r="Z69" s="228">
        <f>+Assumptions!$E157/12*Assumptions!$E131</f>
        <v>1833.3333333333333</v>
      </c>
      <c r="AA69" s="288">
        <f>+Assumptions!$F157/12*Assumptions!$F131</f>
        <v>2083.3333333333335</v>
      </c>
      <c r="AB69" s="227">
        <f>+Assumptions!$F157/12*Assumptions!$F131</f>
        <v>2083.3333333333335</v>
      </c>
      <c r="AC69" s="227">
        <f>+Assumptions!$F157/12*Assumptions!$F131</f>
        <v>2083.3333333333335</v>
      </c>
      <c r="AD69" s="227">
        <f>+Assumptions!$F157/12*Assumptions!$F131</f>
        <v>2083.3333333333335</v>
      </c>
      <c r="AE69" s="227">
        <f>+Assumptions!$F157/12*Assumptions!$F131</f>
        <v>2083.3333333333335</v>
      </c>
      <c r="AF69" s="227">
        <f>+Assumptions!$F157/12*Assumptions!$F131</f>
        <v>2083.3333333333335</v>
      </c>
      <c r="AG69" s="227">
        <f>+Assumptions!$F157/12*Assumptions!$F131</f>
        <v>2083.3333333333335</v>
      </c>
      <c r="AH69" s="227">
        <f>+Assumptions!$F157/12*Assumptions!$F131</f>
        <v>2083.3333333333335</v>
      </c>
      <c r="AI69" s="227">
        <f>+Assumptions!$F157/12*Assumptions!$F131</f>
        <v>2083.3333333333335</v>
      </c>
      <c r="AJ69" s="227">
        <f>+Assumptions!$F157/12*Assumptions!$F131</f>
        <v>2083.3333333333335</v>
      </c>
      <c r="AK69" s="227">
        <f>+Assumptions!$F157/12*Assumptions!$F131</f>
        <v>2083.3333333333335</v>
      </c>
      <c r="AL69" s="228">
        <f>+Assumptions!$F157/12*Assumptions!$F131</f>
        <v>2083.3333333333335</v>
      </c>
      <c r="AM69" s="288">
        <f>+Assumptions!$G157/12*Assumptions!$G131</f>
        <v>2166.6666666666665</v>
      </c>
      <c r="AN69" s="227">
        <f>+Assumptions!$G157/12*Assumptions!$G131</f>
        <v>2166.6666666666665</v>
      </c>
      <c r="AO69" s="227">
        <f>+Assumptions!$G157/12*Assumptions!$G131</f>
        <v>2166.6666666666665</v>
      </c>
      <c r="AP69" s="227">
        <f>+Assumptions!$G157/12*Assumptions!$G131</f>
        <v>2166.6666666666665</v>
      </c>
      <c r="AQ69" s="227">
        <f>+Assumptions!$G157/12*Assumptions!$G131</f>
        <v>2166.6666666666665</v>
      </c>
      <c r="AR69" s="227">
        <f>+Assumptions!$G157/12*Assumptions!$G131</f>
        <v>2166.6666666666665</v>
      </c>
      <c r="AS69" s="227">
        <f>+Assumptions!$G157/12*Assumptions!$G131</f>
        <v>2166.6666666666665</v>
      </c>
      <c r="AT69" s="227">
        <f>+Assumptions!$G157/12*Assumptions!$G131</f>
        <v>2166.6666666666665</v>
      </c>
      <c r="AU69" s="227">
        <f>+Assumptions!$G157/12*Assumptions!$G131</f>
        <v>2166.6666666666665</v>
      </c>
      <c r="AV69" s="227">
        <f>+Assumptions!$G157/12*Assumptions!$G131</f>
        <v>2166.6666666666665</v>
      </c>
      <c r="AW69" s="227">
        <f>+Assumptions!$G157/12*Assumptions!$G131</f>
        <v>2166.6666666666665</v>
      </c>
      <c r="AX69" s="228">
        <f>+Assumptions!$G157/12*Assumptions!$G131</f>
        <v>2166.6666666666665</v>
      </c>
      <c r="AY69" s="288">
        <f>+Assumptions!$H157/12*Assumptions!$H131</f>
        <v>2500</v>
      </c>
      <c r="AZ69" s="227">
        <f>+Assumptions!$H157/12*Assumptions!$H131</f>
        <v>2500</v>
      </c>
      <c r="BA69" s="227">
        <f>+Assumptions!$H157/12*Assumptions!$H131</f>
        <v>2500</v>
      </c>
      <c r="BB69" s="227">
        <f>+Assumptions!$H157/12*Assumptions!$H131</f>
        <v>2500</v>
      </c>
      <c r="BC69" s="227">
        <f>+Assumptions!$H157/12*Assumptions!$H131</f>
        <v>2500</v>
      </c>
      <c r="BD69" s="227">
        <f>+Assumptions!$H157/12*Assumptions!$H131</f>
        <v>2500</v>
      </c>
      <c r="BE69" s="227">
        <f>+Assumptions!$H157/12*Assumptions!$H131</f>
        <v>2500</v>
      </c>
      <c r="BF69" s="227">
        <f>+Assumptions!$H157/12*Assumptions!$H131</f>
        <v>2500</v>
      </c>
      <c r="BG69" s="227">
        <f>+Assumptions!$H157/12*Assumptions!$H131</f>
        <v>2500</v>
      </c>
      <c r="BH69" s="227">
        <f>+Assumptions!$H157/12*Assumptions!$H131</f>
        <v>2500</v>
      </c>
      <c r="BI69" s="227">
        <f>+Assumptions!$H157/12*Assumptions!$H131</f>
        <v>2500</v>
      </c>
      <c r="BJ69" s="228">
        <f>+Assumptions!$H157/12*Assumptions!$H131</f>
        <v>2500</v>
      </c>
    </row>
    <row r="70" spans="2:62" ht="15.75">
      <c r="B70" s="215" t="str">
        <f t="shared" si="75"/>
        <v>CFO</v>
      </c>
      <c r="C70" s="227">
        <f>+Assumptions!$D158/12*Assumptions!$D132</f>
        <v>746.9444444444443</v>
      </c>
      <c r="D70" s="227">
        <f>+Assumptions!$D158/12*Assumptions!$D132</f>
        <v>746.9444444444443</v>
      </c>
      <c r="E70" s="227">
        <v>752</v>
      </c>
      <c r="F70" s="227">
        <v>690</v>
      </c>
      <c r="G70" s="227">
        <v>502</v>
      </c>
      <c r="H70" s="227">
        <v>502</v>
      </c>
      <c r="I70" s="227">
        <v>313</v>
      </c>
      <c r="J70" s="227">
        <v>313</v>
      </c>
      <c r="K70" s="227">
        <v>1833.3333333333333</v>
      </c>
      <c r="L70" s="227">
        <v>1833.3333333333333</v>
      </c>
      <c r="M70" s="227">
        <v>1833.3333333333333</v>
      </c>
      <c r="N70" s="227">
        <v>1833.3333333333333</v>
      </c>
      <c r="O70" s="288">
        <f>+Assumptions!$E158/12*Assumptions!$E132</f>
        <v>1833.3333333333333</v>
      </c>
      <c r="P70" s="227">
        <f>+Assumptions!$E158/12*Assumptions!$E132</f>
        <v>1833.3333333333333</v>
      </c>
      <c r="Q70" s="227">
        <f>+Assumptions!$E158/12*Assumptions!$E132</f>
        <v>1833.3333333333333</v>
      </c>
      <c r="R70" s="227">
        <f>+Assumptions!$E158/12*Assumptions!$E132</f>
        <v>1833.3333333333333</v>
      </c>
      <c r="S70" s="227">
        <f>+Assumptions!$E158/12*Assumptions!$E132</f>
        <v>1833.3333333333333</v>
      </c>
      <c r="T70" s="227">
        <f>+Assumptions!$E158/12*Assumptions!$E132</f>
        <v>1833.3333333333333</v>
      </c>
      <c r="U70" s="227">
        <f>+Assumptions!$E158/12*Assumptions!$E132</f>
        <v>1833.3333333333333</v>
      </c>
      <c r="V70" s="227">
        <f>+Assumptions!$E158/12*Assumptions!$E132</f>
        <v>1833.3333333333333</v>
      </c>
      <c r="W70" s="227">
        <f>+Assumptions!$E158/12*Assumptions!$E132</f>
        <v>1833.3333333333333</v>
      </c>
      <c r="X70" s="227">
        <f>+Assumptions!$E158/12*Assumptions!$E132</f>
        <v>1833.3333333333333</v>
      </c>
      <c r="Y70" s="227">
        <f>+Assumptions!$E158/12*Assumptions!$E132</f>
        <v>1833.3333333333333</v>
      </c>
      <c r="Z70" s="228">
        <f>+Assumptions!$E158/12*Assumptions!$E132</f>
        <v>1833.3333333333333</v>
      </c>
      <c r="AA70" s="288">
        <f>+Assumptions!$F158/12*Assumptions!$F132</f>
        <v>1833.3333333333333</v>
      </c>
      <c r="AB70" s="227">
        <f>+Assumptions!$F158/12*Assumptions!$F132</f>
        <v>1833.3333333333333</v>
      </c>
      <c r="AC70" s="227">
        <f>+Assumptions!$F158/12*Assumptions!$F132</f>
        <v>1833.3333333333333</v>
      </c>
      <c r="AD70" s="227">
        <f>+Assumptions!$F158/12*Assumptions!$F132</f>
        <v>1833.3333333333333</v>
      </c>
      <c r="AE70" s="227">
        <f>+Assumptions!$F158/12*Assumptions!$F132</f>
        <v>1833.3333333333333</v>
      </c>
      <c r="AF70" s="227">
        <f>+Assumptions!$F158/12*Assumptions!$F132</f>
        <v>1833.3333333333333</v>
      </c>
      <c r="AG70" s="227">
        <f>+Assumptions!$F158/12*Assumptions!$F132</f>
        <v>1833.3333333333333</v>
      </c>
      <c r="AH70" s="227">
        <f>+Assumptions!$F158/12*Assumptions!$F132</f>
        <v>1833.3333333333333</v>
      </c>
      <c r="AI70" s="227">
        <f>+Assumptions!$F158/12*Assumptions!$F132</f>
        <v>1833.3333333333333</v>
      </c>
      <c r="AJ70" s="227">
        <f>+Assumptions!$F158/12*Assumptions!$F132</f>
        <v>1833.3333333333333</v>
      </c>
      <c r="AK70" s="227">
        <f>+Assumptions!$F158/12*Assumptions!$F132</f>
        <v>1833.3333333333333</v>
      </c>
      <c r="AL70" s="228">
        <f>+Assumptions!$F158/12*Assumptions!$F132</f>
        <v>1833.3333333333333</v>
      </c>
      <c r="AM70" s="288">
        <f>+Assumptions!$G158/12*Assumptions!$G132</f>
        <v>2000</v>
      </c>
      <c r="AN70" s="227">
        <f>+Assumptions!$G158/12*Assumptions!$G132</f>
        <v>2000</v>
      </c>
      <c r="AO70" s="227">
        <f>+Assumptions!$G158/12*Assumptions!$G132</f>
        <v>2000</v>
      </c>
      <c r="AP70" s="227">
        <f>+Assumptions!$G158/12*Assumptions!$G132</f>
        <v>2000</v>
      </c>
      <c r="AQ70" s="227">
        <f>+Assumptions!$G158/12*Assumptions!$G132</f>
        <v>2000</v>
      </c>
      <c r="AR70" s="227">
        <f>+Assumptions!$G158/12*Assumptions!$G132</f>
        <v>2000</v>
      </c>
      <c r="AS70" s="227">
        <f>+Assumptions!$G158/12*Assumptions!$G132</f>
        <v>2000</v>
      </c>
      <c r="AT70" s="227">
        <f>+Assumptions!$G158/12*Assumptions!$G132</f>
        <v>2000</v>
      </c>
      <c r="AU70" s="227">
        <f>+Assumptions!$G158/12*Assumptions!$G132</f>
        <v>2000</v>
      </c>
      <c r="AV70" s="227">
        <f>+Assumptions!$G158/12*Assumptions!$G132</f>
        <v>2000</v>
      </c>
      <c r="AW70" s="227">
        <f>+Assumptions!$G158/12*Assumptions!$G132</f>
        <v>2000</v>
      </c>
      <c r="AX70" s="228">
        <f>+Assumptions!$G158/12*Assumptions!$G132</f>
        <v>2000</v>
      </c>
      <c r="AY70" s="288">
        <f>+Assumptions!$H158/12*Assumptions!$H132</f>
        <v>2000</v>
      </c>
      <c r="AZ70" s="227">
        <f>+Assumptions!$H158/12*Assumptions!$H132</f>
        <v>2000</v>
      </c>
      <c r="BA70" s="227">
        <f>+Assumptions!$H158/12*Assumptions!$H132</f>
        <v>2000</v>
      </c>
      <c r="BB70" s="227">
        <f>+Assumptions!$H158/12*Assumptions!$H132</f>
        <v>2000</v>
      </c>
      <c r="BC70" s="227">
        <f>+Assumptions!$H158/12*Assumptions!$H132</f>
        <v>2000</v>
      </c>
      <c r="BD70" s="227">
        <f>+Assumptions!$H158/12*Assumptions!$H132</f>
        <v>2000</v>
      </c>
      <c r="BE70" s="227">
        <f>+Assumptions!$H158/12*Assumptions!$H132</f>
        <v>2000</v>
      </c>
      <c r="BF70" s="227">
        <f>+Assumptions!$H158/12*Assumptions!$H132</f>
        <v>2000</v>
      </c>
      <c r="BG70" s="227">
        <f>+Assumptions!$H158/12*Assumptions!$H132</f>
        <v>2000</v>
      </c>
      <c r="BH70" s="227">
        <f>+Assumptions!$H158/12*Assumptions!$H132</f>
        <v>2000</v>
      </c>
      <c r="BI70" s="227">
        <f>+Assumptions!$H158/12*Assumptions!$H132</f>
        <v>2000</v>
      </c>
      <c r="BJ70" s="228">
        <f>+Assumptions!$H158/12*Assumptions!$H132</f>
        <v>2000</v>
      </c>
    </row>
    <row r="71" spans="2:62" ht="15.75">
      <c r="B71" s="215" t="str">
        <f t="shared" si="75"/>
        <v>CTO</v>
      </c>
      <c r="C71" s="227">
        <f>+Assumptions!$D159/12*Assumptions!$D133</f>
        <v>0</v>
      </c>
      <c r="D71" s="227">
        <f>+Assumptions!$D159/12*Assumptions!$D133</f>
        <v>0</v>
      </c>
      <c r="E71" s="227">
        <f>+Assumptions!$D159/12*Assumptions!$D133</f>
        <v>0</v>
      </c>
      <c r="F71" s="227">
        <f>+Assumptions!$D159/12*Assumptions!$D133</f>
        <v>0</v>
      </c>
      <c r="G71" s="227">
        <f>+Assumptions!$D159/12*Assumptions!$D133</f>
        <v>0</v>
      </c>
      <c r="H71" s="227">
        <f>+Assumptions!$D159/12*Assumptions!$D133</f>
        <v>0</v>
      </c>
      <c r="I71" s="227">
        <f>+Assumptions!$D159/12*Assumptions!$D133</f>
        <v>0</v>
      </c>
      <c r="J71" s="227">
        <f>+Assumptions!$D159/12*Assumptions!$D133</f>
        <v>0</v>
      </c>
      <c r="K71" s="227">
        <f>+Assumptions!$D159/12*Assumptions!$D133</f>
        <v>0</v>
      </c>
      <c r="L71" s="227">
        <f>+Assumptions!$D159/12*Assumptions!$D133</f>
        <v>0</v>
      </c>
      <c r="M71" s="227">
        <f>+Assumptions!$D159/12*Assumptions!$D133</f>
        <v>0</v>
      </c>
      <c r="N71" s="227">
        <f>+Assumptions!$D159/12*Assumptions!$D133</f>
        <v>0</v>
      </c>
      <c r="O71" s="288">
        <f>+Assumptions!$E159/12*Assumptions!$E133</f>
        <v>0</v>
      </c>
      <c r="P71" s="227">
        <f>+Assumptions!$E159/12*Assumptions!$E133</f>
        <v>0</v>
      </c>
      <c r="Q71" s="227">
        <f>+Assumptions!$E159/12*Assumptions!$E133</f>
        <v>0</v>
      </c>
      <c r="R71" s="227">
        <f>+Assumptions!$E159/12*Assumptions!$E133</f>
        <v>0</v>
      </c>
      <c r="S71" s="227">
        <f>+Assumptions!$E159/12*Assumptions!$E133</f>
        <v>0</v>
      </c>
      <c r="T71" s="227">
        <f>+Assumptions!$E159/12*Assumptions!$E133</f>
        <v>0</v>
      </c>
      <c r="U71" s="227">
        <f>+Assumptions!$E159/12*Assumptions!$E133</f>
        <v>0</v>
      </c>
      <c r="V71" s="227">
        <f>+Assumptions!$E159/12*Assumptions!$E133</f>
        <v>0</v>
      </c>
      <c r="W71" s="227">
        <f>+Assumptions!$E159/12*Assumptions!$E133</f>
        <v>0</v>
      </c>
      <c r="X71" s="227">
        <f>+Assumptions!$E159/12*Assumptions!$E133</f>
        <v>0</v>
      </c>
      <c r="Y71" s="227">
        <f>+Assumptions!$E159/12*Assumptions!$E133</f>
        <v>0</v>
      </c>
      <c r="Z71" s="228">
        <f>+Assumptions!$E159/12*Assumptions!$E133</f>
        <v>0</v>
      </c>
      <c r="AA71" s="288">
        <f>+Assumptions!$F159/12*Assumptions!$F133</f>
        <v>1833.3333333333333</v>
      </c>
      <c r="AB71" s="227">
        <f>+Assumptions!$F159/12*Assumptions!$F133</f>
        <v>1833.3333333333333</v>
      </c>
      <c r="AC71" s="227">
        <f>+Assumptions!$F159/12*Assumptions!$F133</f>
        <v>1833.3333333333333</v>
      </c>
      <c r="AD71" s="227">
        <f>+Assumptions!$F159/12*Assumptions!$F133</f>
        <v>1833.3333333333333</v>
      </c>
      <c r="AE71" s="227">
        <f>+Assumptions!$F159/12*Assumptions!$F133</f>
        <v>1833.3333333333333</v>
      </c>
      <c r="AF71" s="227">
        <f>+Assumptions!$F159/12*Assumptions!$F133</f>
        <v>1833.3333333333333</v>
      </c>
      <c r="AG71" s="227">
        <f>+Assumptions!$F159/12*Assumptions!$F133</f>
        <v>1833.3333333333333</v>
      </c>
      <c r="AH71" s="227">
        <f>+Assumptions!$F159/12*Assumptions!$F133</f>
        <v>1833.3333333333333</v>
      </c>
      <c r="AI71" s="227">
        <f>+Assumptions!$F159/12*Assumptions!$F133</f>
        <v>1833.3333333333333</v>
      </c>
      <c r="AJ71" s="227">
        <f>+Assumptions!$F159/12*Assumptions!$F133</f>
        <v>1833.3333333333333</v>
      </c>
      <c r="AK71" s="227">
        <f>+Assumptions!$F159/12*Assumptions!$F133</f>
        <v>1833.3333333333333</v>
      </c>
      <c r="AL71" s="228">
        <f>+Assumptions!$F159/12*Assumptions!$F133</f>
        <v>1833.3333333333333</v>
      </c>
      <c r="AM71" s="288">
        <f>+Assumptions!$G159/12*Assumptions!$G133</f>
        <v>2000</v>
      </c>
      <c r="AN71" s="227">
        <f>+Assumptions!$G159/12*Assumptions!$G133</f>
        <v>2000</v>
      </c>
      <c r="AO71" s="227">
        <f>+Assumptions!$G159/12*Assumptions!$G133</f>
        <v>2000</v>
      </c>
      <c r="AP71" s="227">
        <f>+Assumptions!$G159/12*Assumptions!$G133</f>
        <v>2000</v>
      </c>
      <c r="AQ71" s="227">
        <f>+Assumptions!$G159/12*Assumptions!$G133</f>
        <v>2000</v>
      </c>
      <c r="AR71" s="227">
        <f>+Assumptions!$G159/12*Assumptions!$G133</f>
        <v>2000</v>
      </c>
      <c r="AS71" s="227">
        <f>+Assumptions!$G159/12*Assumptions!$G133</f>
        <v>2000</v>
      </c>
      <c r="AT71" s="227">
        <f>+Assumptions!$G159/12*Assumptions!$G133</f>
        <v>2000</v>
      </c>
      <c r="AU71" s="227">
        <f>+Assumptions!$G159/12*Assumptions!$G133</f>
        <v>2000</v>
      </c>
      <c r="AV71" s="227">
        <f>+Assumptions!$G159/12*Assumptions!$G133</f>
        <v>2000</v>
      </c>
      <c r="AW71" s="227">
        <f>+Assumptions!$G159/12*Assumptions!$G133</f>
        <v>2000</v>
      </c>
      <c r="AX71" s="228">
        <f>+Assumptions!$G159/12*Assumptions!$G133</f>
        <v>2000</v>
      </c>
      <c r="AY71" s="288">
        <f>+Assumptions!$H159/12*Assumptions!$H133</f>
        <v>2000</v>
      </c>
      <c r="AZ71" s="227">
        <f>+Assumptions!$H159/12*Assumptions!$H133</f>
        <v>2000</v>
      </c>
      <c r="BA71" s="227">
        <f>+Assumptions!$H159/12*Assumptions!$H133</f>
        <v>2000</v>
      </c>
      <c r="BB71" s="227">
        <f>+Assumptions!$H159/12*Assumptions!$H133</f>
        <v>2000</v>
      </c>
      <c r="BC71" s="227">
        <f>+Assumptions!$H159/12*Assumptions!$H133</f>
        <v>2000</v>
      </c>
      <c r="BD71" s="227">
        <f>+Assumptions!$H159/12*Assumptions!$H133</f>
        <v>2000</v>
      </c>
      <c r="BE71" s="227">
        <f>+Assumptions!$H159/12*Assumptions!$H133</f>
        <v>2000</v>
      </c>
      <c r="BF71" s="227">
        <f>+Assumptions!$H159/12*Assumptions!$H133</f>
        <v>2000</v>
      </c>
      <c r="BG71" s="227">
        <f>+Assumptions!$H159/12*Assumptions!$H133</f>
        <v>2000</v>
      </c>
      <c r="BH71" s="227">
        <f>+Assumptions!$H159/12*Assumptions!$H133</f>
        <v>2000</v>
      </c>
      <c r="BI71" s="227">
        <f>+Assumptions!$H159/12*Assumptions!$H133</f>
        <v>2000</v>
      </c>
      <c r="BJ71" s="228">
        <f>+Assumptions!$H159/12*Assumptions!$H133</f>
        <v>2000</v>
      </c>
    </row>
    <row r="72" spans="2:62" ht="15.75">
      <c r="B72" s="215" t="str">
        <f t="shared" si="75"/>
        <v>Sales Manager</v>
      </c>
      <c r="C72" s="227">
        <f>+Assumptions!$D160/12*Assumptions!$D134</f>
        <v>0</v>
      </c>
      <c r="D72" s="227">
        <f>+Assumptions!$D160/12*Assumptions!$D134</f>
        <v>0</v>
      </c>
      <c r="E72" s="227">
        <f>+Assumptions!$D160/12*Assumptions!$D134</f>
        <v>0</v>
      </c>
      <c r="F72" s="227">
        <f>+Assumptions!$D160/12*Assumptions!$D134</f>
        <v>0</v>
      </c>
      <c r="G72" s="227">
        <f>+Assumptions!$D160/12*Assumptions!$D134</f>
        <v>0</v>
      </c>
      <c r="H72" s="227">
        <f>+Assumptions!$D160/12*Assumptions!$D134</f>
        <v>0</v>
      </c>
      <c r="I72" s="227">
        <f>+Assumptions!$D160/12*Assumptions!$D134</f>
        <v>0</v>
      </c>
      <c r="J72" s="227">
        <f>+Assumptions!$D160/12*Assumptions!$D134</f>
        <v>0</v>
      </c>
      <c r="K72" s="227">
        <f>+Assumptions!$D160/12*Assumptions!$D134</f>
        <v>0</v>
      </c>
      <c r="L72" s="227">
        <f>+Assumptions!$D160/12*Assumptions!$D134</f>
        <v>0</v>
      </c>
      <c r="M72" s="227">
        <f>+Assumptions!$D160/12*Assumptions!$D134</f>
        <v>0</v>
      </c>
      <c r="N72" s="227">
        <f>+Assumptions!$D160/12*Assumptions!$D134</f>
        <v>0</v>
      </c>
      <c r="O72" s="288">
        <f>+Assumptions!$E160/12*Assumptions!$E134</f>
        <v>0</v>
      </c>
      <c r="P72" s="227">
        <f>+Assumptions!$E160/12*Assumptions!$E134</f>
        <v>0</v>
      </c>
      <c r="Q72" s="227">
        <f>+Assumptions!$E160/12*Assumptions!$E134</f>
        <v>0</v>
      </c>
      <c r="R72" s="227">
        <f>+Assumptions!$E160/12*Assumptions!$E134</f>
        <v>0</v>
      </c>
      <c r="S72" s="227">
        <f>+Assumptions!$E160/12*Assumptions!$E134</f>
        <v>0</v>
      </c>
      <c r="T72" s="227">
        <f>+Assumptions!$E160/12*Assumptions!$E134</f>
        <v>0</v>
      </c>
      <c r="U72" s="227">
        <f>+Assumptions!$E160/12*Assumptions!$E134</f>
        <v>0</v>
      </c>
      <c r="V72" s="227">
        <f>+Assumptions!$E160/12*Assumptions!$E134</f>
        <v>0</v>
      </c>
      <c r="W72" s="227">
        <f>+Assumptions!$E160/12*Assumptions!$E134</f>
        <v>0</v>
      </c>
      <c r="X72" s="227">
        <f>+Assumptions!$E160/12*Assumptions!$E134</f>
        <v>0</v>
      </c>
      <c r="Y72" s="227">
        <f>+Assumptions!$E160/12*Assumptions!$E134</f>
        <v>0</v>
      </c>
      <c r="Z72" s="228">
        <f>+Assumptions!$E160/12*Assumptions!$E134</f>
        <v>0</v>
      </c>
      <c r="AA72" s="288">
        <f>+Assumptions!$F160/12*Assumptions!$F134</f>
        <v>1833.3333333333333</v>
      </c>
      <c r="AB72" s="227">
        <f>+Assumptions!$F160/12*Assumptions!$F134</f>
        <v>1833.3333333333333</v>
      </c>
      <c r="AC72" s="227">
        <f>+Assumptions!$F160/12*Assumptions!$F134</f>
        <v>1833.3333333333333</v>
      </c>
      <c r="AD72" s="227">
        <f>+Assumptions!$F160/12*Assumptions!$F134</f>
        <v>1833.3333333333333</v>
      </c>
      <c r="AE72" s="227">
        <f>+Assumptions!$F160/12*Assumptions!$F134</f>
        <v>1833.3333333333333</v>
      </c>
      <c r="AF72" s="227">
        <f>+Assumptions!$F160/12*Assumptions!$F134</f>
        <v>1833.3333333333333</v>
      </c>
      <c r="AG72" s="227">
        <f>+Assumptions!$F160/12*Assumptions!$F134</f>
        <v>1833.3333333333333</v>
      </c>
      <c r="AH72" s="227">
        <f>+Assumptions!$F160/12*Assumptions!$F134</f>
        <v>1833.3333333333333</v>
      </c>
      <c r="AI72" s="227">
        <f>+Assumptions!$F160/12*Assumptions!$F134</f>
        <v>1833.3333333333333</v>
      </c>
      <c r="AJ72" s="227">
        <f>+Assumptions!$F160/12*Assumptions!$F134</f>
        <v>1833.3333333333333</v>
      </c>
      <c r="AK72" s="227">
        <f>+Assumptions!$F160/12*Assumptions!$F134</f>
        <v>1833.3333333333333</v>
      </c>
      <c r="AL72" s="228">
        <f>+Assumptions!$F160/12*Assumptions!$F134</f>
        <v>1833.3333333333333</v>
      </c>
      <c r="AM72" s="288">
        <f>+Assumptions!$G160/12*Assumptions!$G134</f>
        <v>1833.3333333333333</v>
      </c>
      <c r="AN72" s="227">
        <f>+Assumptions!$G160/12*Assumptions!$G134</f>
        <v>1833.3333333333333</v>
      </c>
      <c r="AO72" s="227">
        <f>+Assumptions!$G160/12*Assumptions!$G134</f>
        <v>1833.3333333333333</v>
      </c>
      <c r="AP72" s="227">
        <f>+Assumptions!$G160/12*Assumptions!$G134</f>
        <v>1833.3333333333333</v>
      </c>
      <c r="AQ72" s="227">
        <f>+Assumptions!$G160/12*Assumptions!$G134</f>
        <v>1833.3333333333333</v>
      </c>
      <c r="AR72" s="227">
        <f>+Assumptions!$G160/12*Assumptions!$G134</f>
        <v>1833.3333333333333</v>
      </c>
      <c r="AS72" s="227">
        <f>+Assumptions!$G160/12*Assumptions!$G134</f>
        <v>1833.3333333333333</v>
      </c>
      <c r="AT72" s="227">
        <f>+Assumptions!$G160/12*Assumptions!$G134</f>
        <v>1833.3333333333333</v>
      </c>
      <c r="AU72" s="227">
        <f>+Assumptions!$G160/12*Assumptions!$G134</f>
        <v>1833.3333333333333</v>
      </c>
      <c r="AV72" s="227">
        <f>+Assumptions!$G160/12*Assumptions!$G134</f>
        <v>1833.3333333333333</v>
      </c>
      <c r="AW72" s="227">
        <f>+Assumptions!$G160/12*Assumptions!$G134</f>
        <v>1833.3333333333333</v>
      </c>
      <c r="AX72" s="228">
        <f>+Assumptions!$G160/12*Assumptions!$G134</f>
        <v>1833.3333333333333</v>
      </c>
      <c r="AY72" s="288">
        <f>+Assumptions!$H160/12*Assumptions!$H134</f>
        <v>1833.3333333333333</v>
      </c>
      <c r="AZ72" s="227">
        <f>+Assumptions!$H160/12*Assumptions!$H134</f>
        <v>1833.3333333333333</v>
      </c>
      <c r="BA72" s="227">
        <f>+Assumptions!$H160/12*Assumptions!$H134</f>
        <v>1833.3333333333333</v>
      </c>
      <c r="BB72" s="227">
        <f>+Assumptions!$H160/12*Assumptions!$H134</f>
        <v>1833.3333333333333</v>
      </c>
      <c r="BC72" s="227">
        <f>+Assumptions!$H160/12*Assumptions!$H134</f>
        <v>1833.3333333333333</v>
      </c>
      <c r="BD72" s="227">
        <f>+Assumptions!$H160/12*Assumptions!$H134</f>
        <v>1833.3333333333333</v>
      </c>
      <c r="BE72" s="227">
        <f>+Assumptions!$H160/12*Assumptions!$H134</f>
        <v>1833.3333333333333</v>
      </c>
      <c r="BF72" s="227">
        <f>+Assumptions!$H160/12*Assumptions!$H134</f>
        <v>1833.3333333333333</v>
      </c>
      <c r="BG72" s="227">
        <f>+Assumptions!$H160/12*Assumptions!$H134</f>
        <v>1833.3333333333333</v>
      </c>
      <c r="BH72" s="227">
        <f>+Assumptions!$H160/12*Assumptions!$H134</f>
        <v>1833.3333333333333</v>
      </c>
      <c r="BI72" s="227">
        <f>+Assumptions!$H160/12*Assumptions!$H134</f>
        <v>1833.3333333333333</v>
      </c>
      <c r="BJ72" s="228">
        <f>+Assumptions!$H160/12*Assumptions!$H134</f>
        <v>1833.3333333333333</v>
      </c>
    </row>
    <row r="73" spans="2:62" ht="15.75">
      <c r="B73" s="215" t="str">
        <f t="shared" si="75"/>
        <v>Business Developer</v>
      </c>
      <c r="C73" s="227"/>
      <c r="D73" s="227"/>
      <c r="E73" s="227"/>
      <c r="F73" s="227"/>
      <c r="G73" s="227"/>
      <c r="H73" s="227"/>
      <c r="I73" s="227"/>
      <c r="J73" s="227"/>
      <c r="K73" s="227"/>
      <c r="L73" s="227">
        <f>+Assumptions!$D161/3*Assumptions!$D135</f>
        <v>0</v>
      </c>
      <c r="M73" s="227">
        <f>+Assumptions!$D161/3*Assumptions!$D135</f>
        <v>0</v>
      </c>
      <c r="N73" s="227">
        <f>+Assumptions!$D161/3*Assumptions!$D135</f>
        <v>0</v>
      </c>
      <c r="O73" s="288">
        <f>+Assumptions!$E161/12*Assumptions!$E135</f>
        <v>1833.3333333333333</v>
      </c>
      <c r="P73" s="227">
        <f>+Assumptions!$E161/12*Assumptions!$E135</f>
        <v>1833.3333333333333</v>
      </c>
      <c r="Q73" s="227">
        <f>+Assumptions!$E161/12*Assumptions!$E135</f>
        <v>1833.3333333333333</v>
      </c>
      <c r="R73" s="227">
        <f>+Assumptions!$E161/12*Assumptions!$E135</f>
        <v>1833.3333333333333</v>
      </c>
      <c r="S73" s="227">
        <f>+Assumptions!$E161/12*Assumptions!$E135</f>
        <v>1833.3333333333333</v>
      </c>
      <c r="T73" s="227">
        <f>+Assumptions!$E161/12*Assumptions!$E135</f>
        <v>1833.3333333333333</v>
      </c>
      <c r="U73" s="227">
        <f>+Assumptions!$E161/12*Assumptions!$E135</f>
        <v>1833.3333333333333</v>
      </c>
      <c r="V73" s="227">
        <f>+Assumptions!$E161/12*Assumptions!$E135</f>
        <v>1833.3333333333333</v>
      </c>
      <c r="W73" s="227">
        <f>+Assumptions!$E161/12*Assumptions!$E135</f>
        <v>1833.3333333333333</v>
      </c>
      <c r="X73" s="227">
        <f>+Assumptions!$E161/12*Assumptions!$E135</f>
        <v>1833.3333333333333</v>
      </c>
      <c r="Y73" s="227">
        <f>+Assumptions!$E161/12*Assumptions!$E135</f>
        <v>1833.3333333333333</v>
      </c>
      <c r="Z73" s="228">
        <f>+Assumptions!$E161/12*Assumptions!$E135</f>
        <v>1833.3333333333333</v>
      </c>
      <c r="AA73" s="288">
        <f>+Assumptions!$F161/12*Assumptions!$F135</f>
        <v>1833.3333333333333</v>
      </c>
      <c r="AB73" s="227">
        <f>+Assumptions!$F161/12*Assumptions!$F135</f>
        <v>1833.3333333333333</v>
      </c>
      <c r="AC73" s="227">
        <f>+Assumptions!$F161/12*Assumptions!$F135</f>
        <v>1833.3333333333333</v>
      </c>
      <c r="AD73" s="227">
        <f>+Assumptions!$F161/12*Assumptions!$F135</f>
        <v>1833.3333333333333</v>
      </c>
      <c r="AE73" s="227">
        <f>+Assumptions!$F161/12*Assumptions!$F135</f>
        <v>1833.3333333333333</v>
      </c>
      <c r="AF73" s="227">
        <f>+Assumptions!$F161/12*Assumptions!$F135</f>
        <v>1833.3333333333333</v>
      </c>
      <c r="AG73" s="227">
        <f>+Assumptions!$F161/12*Assumptions!$F135</f>
        <v>1833.3333333333333</v>
      </c>
      <c r="AH73" s="227">
        <f>+Assumptions!$F161/12*Assumptions!$F135</f>
        <v>1833.3333333333333</v>
      </c>
      <c r="AI73" s="227">
        <f>+Assumptions!$F161/12*Assumptions!$F135</f>
        <v>1833.3333333333333</v>
      </c>
      <c r="AJ73" s="227">
        <f>+Assumptions!$F161/12*Assumptions!$F135</f>
        <v>1833.3333333333333</v>
      </c>
      <c r="AK73" s="227">
        <f>+Assumptions!$F161/12*Assumptions!$F135</f>
        <v>1833.3333333333333</v>
      </c>
      <c r="AL73" s="228">
        <f>+Assumptions!$F161/12*Assumptions!$F135</f>
        <v>1833.3333333333333</v>
      </c>
      <c r="AM73" s="288">
        <f>+Assumptions!$G161/12*Assumptions!$G135</f>
        <v>1833.3333333333333</v>
      </c>
      <c r="AN73" s="227">
        <f>+Assumptions!$G161/12*Assumptions!$G135</f>
        <v>1833.3333333333333</v>
      </c>
      <c r="AO73" s="227">
        <f>+Assumptions!$G161/12*Assumptions!$G135</f>
        <v>1833.3333333333333</v>
      </c>
      <c r="AP73" s="227">
        <f>+Assumptions!$G161/12*Assumptions!$G135</f>
        <v>1833.3333333333333</v>
      </c>
      <c r="AQ73" s="227">
        <f>+Assumptions!$G161/12*Assumptions!$G135</f>
        <v>1833.3333333333333</v>
      </c>
      <c r="AR73" s="227">
        <f>+Assumptions!$G161/12*Assumptions!$G135</f>
        <v>1833.3333333333333</v>
      </c>
      <c r="AS73" s="227">
        <f>+Assumptions!$G161/12*Assumptions!$G135</f>
        <v>1833.3333333333333</v>
      </c>
      <c r="AT73" s="227">
        <f>+Assumptions!$G161/12*Assumptions!$G135</f>
        <v>1833.3333333333333</v>
      </c>
      <c r="AU73" s="227">
        <f>+Assumptions!$G161/12*Assumptions!$G135</f>
        <v>1833.3333333333333</v>
      </c>
      <c r="AV73" s="227">
        <f>+Assumptions!$G161/12*Assumptions!$G135</f>
        <v>1833.3333333333333</v>
      </c>
      <c r="AW73" s="227">
        <f>+Assumptions!$G161/12*Assumptions!$G135</f>
        <v>1833.3333333333333</v>
      </c>
      <c r="AX73" s="228">
        <f>+Assumptions!$G161/12*Assumptions!$G135</f>
        <v>1833.3333333333333</v>
      </c>
      <c r="AY73" s="288">
        <f>+Assumptions!$H161/12*Assumptions!$H135</f>
        <v>1833.3333333333333</v>
      </c>
      <c r="AZ73" s="227">
        <f>+Assumptions!$H161/12*Assumptions!$H135</f>
        <v>1833.3333333333333</v>
      </c>
      <c r="BA73" s="227">
        <f>+Assumptions!$H161/12*Assumptions!$H135</f>
        <v>1833.3333333333333</v>
      </c>
      <c r="BB73" s="227">
        <f>+Assumptions!$H161/12*Assumptions!$H135</f>
        <v>1833.3333333333333</v>
      </c>
      <c r="BC73" s="227">
        <f>+Assumptions!$H161/12*Assumptions!$H135</f>
        <v>1833.3333333333333</v>
      </c>
      <c r="BD73" s="227">
        <f>+Assumptions!$H161/12*Assumptions!$H135</f>
        <v>1833.3333333333333</v>
      </c>
      <c r="BE73" s="227">
        <f>+Assumptions!$H161/12*Assumptions!$H135</f>
        <v>1833.3333333333333</v>
      </c>
      <c r="BF73" s="227">
        <f>+Assumptions!$H161/12*Assumptions!$H135</f>
        <v>1833.3333333333333</v>
      </c>
      <c r="BG73" s="227">
        <f>+Assumptions!$H161/12*Assumptions!$H135</f>
        <v>1833.3333333333333</v>
      </c>
      <c r="BH73" s="227">
        <f>+Assumptions!$H161/12*Assumptions!$H135</f>
        <v>1833.3333333333333</v>
      </c>
      <c r="BI73" s="227">
        <f>+Assumptions!$H161/12*Assumptions!$H135</f>
        <v>1833.3333333333333</v>
      </c>
      <c r="BJ73" s="228">
        <f>+Assumptions!$H161/12*Assumptions!$H135</f>
        <v>1833.3333333333333</v>
      </c>
    </row>
    <row r="74" spans="2:62" ht="15.75">
      <c r="B74" s="215" t="str">
        <f t="shared" si="75"/>
        <v>Account Manager</v>
      </c>
      <c r="C74" s="227"/>
      <c r="D74" s="227"/>
      <c r="E74" s="227"/>
      <c r="F74" s="227"/>
      <c r="G74" s="227"/>
      <c r="H74" s="227"/>
      <c r="I74" s="227"/>
      <c r="J74" s="227"/>
      <c r="K74" s="227"/>
      <c r="L74" s="227">
        <f>+Assumptions!$D162/3*Assumptions!$D136</f>
        <v>1666.6666666666667</v>
      </c>
      <c r="M74" s="227">
        <f>+Assumptions!$D162/3*Assumptions!$D136</f>
        <v>1666.6666666666667</v>
      </c>
      <c r="N74" s="227">
        <f>+Assumptions!$D162/3*Assumptions!$D136</f>
        <v>1666.6666666666667</v>
      </c>
      <c r="O74" s="288">
        <f>+Assumptions!$E162/12*Assumptions!$E136</f>
        <v>1833.3333333333333</v>
      </c>
      <c r="P74" s="227">
        <f>+Assumptions!$E162/12*Assumptions!$E136</f>
        <v>1833.3333333333333</v>
      </c>
      <c r="Q74" s="227">
        <f>+Assumptions!$E162/12*Assumptions!$E136</f>
        <v>1833.3333333333333</v>
      </c>
      <c r="R74" s="227">
        <f>+Assumptions!$E162/12*Assumptions!$E136</f>
        <v>1833.3333333333333</v>
      </c>
      <c r="S74" s="227">
        <f>+Assumptions!$E162/12*Assumptions!$E136</f>
        <v>1833.3333333333333</v>
      </c>
      <c r="T74" s="227">
        <f>+Assumptions!$E162/12*Assumptions!$E136</f>
        <v>1833.3333333333333</v>
      </c>
      <c r="U74" s="227">
        <f>+Assumptions!$E162/12*Assumptions!$E136</f>
        <v>1833.3333333333333</v>
      </c>
      <c r="V74" s="227">
        <f>+Assumptions!$E162/12*Assumptions!$E136</f>
        <v>1833.3333333333333</v>
      </c>
      <c r="W74" s="227">
        <f>+Assumptions!$E162/12*Assumptions!$E136</f>
        <v>1833.3333333333333</v>
      </c>
      <c r="X74" s="227">
        <f>+Assumptions!$E162/12*Assumptions!$E136</f>
        <v>1833.3333333333333</v>
      </c>
      <c r="Y74" s="227">
        <f>+Assumptions!$E162/12*Assumptions!$E136</f>
        <v>1833.3333333333333</v>
      </c>
      <c r="Z74" s="228">
        <f>+Assumptions!$E162/12*Assumptions!$E136</f>
        <v>1833.3333333333333</v>
      </c>
      <c r="AA74" s="288">
        <f>+Assumptions!$F162/12*Assumptions!$F136</f>
        <v>3666.6666666666665</v>
      </c>
      <c r="AB74" s="227">
        <f>+Assumptions!$F162/12*Assumptions!$F136</f>
        <v>3666.6666666666665</v>
      </c>
      <c r="AC74" s="227">
        <f>+Assumptions!$F162/12*Assumptions!$F136</f>
        <v>3666.6666666666665</v>
      </c>
      <c r="AD74" s="227">
        <f>+Assumptions!$F162/12*Assumptions!$F136</f>
        <v>3666.6666666666665</v>
      </c>
      <c r="AE74" s="227">
        <f>+Assumptions!$F162/12*Assumptions!$F136</f>
        <v>3666.6666666666665</v>
      </c>
      <c r="AF74" s="227">
        <f>+Assumptions!$F162/12*Assumptions!$F136</f>
        <v>3666.6666666666665</v>
      </c>
      <c r="AG74" s="227">
        <f>+Assumptions!$F162/12*Assumptions!$F136</f>
        <v>3666.6666666666665</v>
      </c>
      <c r="AH74" s="227">
        <f>+Assumptions!$F162/12*Assumptions!$F136</f>
        <v>3666.6666666666665</v>
      </c>
      <c r="AI74" s="227">
        <f>+Assumptions!$F162/12*Assumptions!$F136</f>
        <v>3666.6666666666665</v>
      </c>
      <c r="AJ74" s="227">
        <f>+Assumptions!$F162/12*Assumptions!$F136</f>
        <v>3666.6666666666665</v>
      </c>
      <c r="AK74" s="227">
        <f>+Assumptions!$F162/12*Assumptions!$F136</f>
        <v>3666.6666666666665</v>
      </c>
      <c r="AL74" s="228">
        <f>+Assumptions!$F162/12*Assumptions!$F136</f>
        <v>3666.6666666666665</v>
      </c>
      <c r="AM74" s="288">
        <f>+Assumptions!$G162/12*Assumptions!$G136</f>
        <v>3666.6666666666665</v>
      </c>
      <c r="AN74" s="227">
        <f>+Assumptions!$G162/12*Assumptions!$G136</f>
        <v>3666.6666666666665</v>
      </c>
      <c r="AO74" s="227">
        <f>+Assumptions!$G162/12*Assumptions!$G136</f>
        <v>3666.6666666666665</v>
      </c>
      <c r="AP74" s="227">
        <f>+Assumptions!$G162/12*Assumptions!$G136</f>
        <v>3666.6666666666665</v>
      </c>
      <c r="AQ74" s="227">
        <f>+Assumptions!$G162/12*Assumptions!$G136</f>
        <v>3666.6666666666665</v>
      </c>
      <c r="AR74" s="227">
        <f>+Assumptions!$G162/12*Assumptions!$G136</f>
        <v>3666.6666666666665</v>
      </c>
      <c r="AS74" s="227">
        <f>+Assumptions!$G162/12*Assumptions!$G136</f>
        <v>3666.6666666666665</v>
      </c>
      <c r="AT74" s="227">
        <f>+Assumptions!$G162/12*Assumptions!$G136</f>
        <v>3666.6666666666665</v>
      </c>
      <c r="AU74" s="227">
        <f>+Assumptions!$G162/12*Assumptions!$G136</f>
        <v>3666.6666666666665</v>
      </c>
      <c r="AV74" s="227">
        <f>+Assumptions!$G162/12*Assumptions!$G136</f>
        <v>3666.6666666666665</v>
      </c>
      <c r="AW74" s="227">
        <f>+Assumptions!$G162/12*Assumptions!$G136</f>
        <v>3666.6666666666665</v>
      </c>
      <c r="AX74" s="228">
        <f>+Assumptions!$G162/12*Assumptions!$G136</f>
        <v>3666.6666666666665</v>
      </c>
      <c r="AY74" s="288">
        <f>+Assumptions!$H162/12*Assumptions!$H136</f>
        <v>5500</v>
      </c>
      <c r="AZ74" s="227">
        <f>+Assumptions!$H162/12*Assumptions!$H136</f>
        <v>5500</v>
      </c>
      <c r="BA74" s="227">
        <f>+Assumptions!$H162/12*Assumptions!$H136</f>
        <v>5500</v>
      </c>
      <c r="BB74" s="227">
        <f>+Assumptions!$H162/12*Assumptions!$H136</f>
        <v>5500</v>
      </c>
      <c r="BC74" s="227">
        <f>+Assumptions!$H162/12*Assumptions!$H136</f>
        <v>5500</v>
      </c>
      <c r="BD74" s="227">
        <f>+Assumptions!$H162/12*Assumptions!$H136</f>
        <v>5500</v>
      </c>
      <c r="BE74" s="227">
        <f>+Assumptions!$H162/12*Assumptions!$H136</f>
        <v>5500</v>
      </c>
      <c r="BF74" s="227">
        <f>+Assumptions!$H162/12*Assumptions!$H136</f>
        <v>5500</v>
      </c>
      <c r="BG74" s="227">
        <f>+Assumptions!$H162/12*Assumptions!$H136</f>
        <v>5500</v>
      </c>
      <c r="BH74" s="227">
        <f>+Assumptions!$H162/12*Assumptions!$H136</f>
        <v>5500</v>
      </c>
      <c r="BI74" s="227">
        <f>+Assumptions!$H162/12*Assumptions!$H136</f>
        <v>5500</v>
      </c>
      <c r="BJ74" s="228">
        <f>+Assumptions!$H162/12*Assumptions!$H136</f>
        <v>5500</v>
      </c>
    </row>
    <row r="75" spans="2:62" ht="15.75">
      <c r="B75" s="215" t="str">
        <f t="shared" si="75"/>
        <v>CMO</v>
      </c>
      <c r="C75" s="227">
        <f>+Assumptions!$D163/12*Assumptions!$D137</f>
        <v>0</v>
      </c>
      <c r="D75" s="227">
        <f>+Assumptions!$D163/12*Assumptions!$D137</f>
        <v>0</v>
      </c>
      <c r="E75" s="227">
        <f>+Assumptions!$D163/12*Assumptions!$D137</f>
        <v>0</v>
      </c>
      <c r="F75" s="227">
        <f>+Assumptions!$D163/12*Assumptions!$D137</f>
        <v>0</v>
      </c>
      <c r="G75" s="227">
        <f>+Assumptions!$D163/12*Assumptions!$D137</f>
        <v>0</v>
      </c>
      <c r="H75" s="227">
        <f>+Assumptions!$D163/12*Assumptions!$D137</f>
        <v>0</v>
      </c>
      <c r="I75" s="227">
        <f>+Assumptions!$D163/12*Assumptions!$D137</f>
        <v>0</v>
      </c>
      <c r="J75" s="227">
        <f>+Assumptions!$D163/12*Assumptions!$D137</f>
        <v>0</v>
      </c>
      <c r="K75" s="227">
        <f>+Assumptions!$D163/12*Assumptions!$D137</f>
        <v>0</v>
      </c>
      <c r="L75" s="227">
        <f>+Assumptions!$D163/12*Assumptions!$D137</f>
        <v>0</v>
      </c>
      <c r="M75" s="227">
        <f>+Assumptions!$D163/12*Assumptions!$D137</f>
        <v>0</v>
      </c>
      <c r="N75" s="227">
        <f>+Assumptions!$D163/12*Assumptions!$D137</f>
        <v>0</v>
      </c>
      <c r="O75" s="288">
        <f>+Assumptions!$E163/12*Assumptions!$E137</f>
        <v>1666.6666666666667</v>
      </c>
      <c r="P75" s="227">
        <f>+Assumptions!$E163/12*Assumptions!$E137</f>
        <v>1666.6666666666667</v>
      </c>
      <c r="Q75" s="227">
        <f>+Assumptions!$E163/12*Assumptions!$E137</f>
        <v>1666.6666666666667</v>
      </c>
      <c r="R75" s="227">
        <f>+Assumptions!$E163/12*Assumptions!$E137</f>
        <v>1666.6666666666667</v>
      </c>
      <c r="S75" s="227">
        <f>+Assumptions!$E163/12*Assumptions!$E137</f>
        <v>1666.6666666666667</v>
      </c>
      <c r="T75" s="227">
        <f>+Assumptions!$E163/12*Assumptions!$E137</f>
        <v>1666.6666666666667</v>
      </c>
      <c r="U75" s="227">
        <f>+Assumptions!$E163/12*Assumptions!$E137</f>
        <v>1666.6666666666667</v>
      </c>
      <c r="V75" s="227">
        <f>+Assumptions!$E163/12*Assumptions!$E137</f>
        <v>1666.6666666666667</v>
      </c>
      <c r="W75" s="227">
        <f>+Assumptions!$E163/12*Assumptions!$E137</f>
        <v>1666.6666666666667</v>
      </c>
      <c r="X75" s="227">
        <f>+Assumptions!$E163/12*Assumptions!$E137</f>
        <v>1666.6666666666667</v>
      </c>
      <c r="Y75" s="227">
        <f>+Assumptions!$E163/12*Assumptions!$E137</f>
        <v>1666.6666666666667</v>
      </c>
      <c r="Z75" s="228">
        <f>+Assumptions!$E163/12*Assumptions!$E137</f>
        <v>1666.6666666666667</v>
      </c>
      <c r="AA75" s="288">
        <f>+Assumptions!$F163/12*Assumptions!$F137</f>
        <v>1833.3333333333333</v>
      </c>
      <c r="AB75" s="227">
        <f>+Assumptions!$F163/12*Assumptions!$F137</f>
        <v>1833.3333333333333</v>
      </c>
      <c r="AC75" s="227">
        <f>+Assumptions!$F163/12*Assumptions!$F137</f>
        <v>1833.3333333333333</v>
      </c>
      <c r="AD75" s="227">
        <f>+Assumptions!$F163/12*Assumptions!$F137</f>
        <v>1833.3333333333333</v>
      </c>
      <c r="AE75" s="227">
        <f>+Assumptions!$F163/12*Assumptions!$F137</f>
        <v>1833.3333333333333</v>
      </c>
      <c r="AF75" s="227">
        <f>+Assumptions!$F163/12*Assumptions!$F137</f>
        <v>1833.3333333333333</v>
      </c>
      <c r="AG75" s="227">
        <f>+Assumptions!$F163/12*Assumptions!$F137</f>
        <v>1833.3333333333333</v>
      </c>
      <c r="AH75" s="227">
        <f>+Assumptions!$F163/12*Assumptions!$F137</f>
        <v>1833.3333333333333</v>
      </c>
      <c r="AI75" s="227">
        <f>+Assumptions!$F163/12*Assumptions!$F137</f>
        <v>1833.3333333333333</v>
      </c>
      <c r="AJ75" s="227">
        <f>+Assumptions!$F163/12*Assumptions!$F137</f>
        <v>1833.3333333333333</v>
      </c>
      <c r="AK75" s="227">
        <f>+Assumptions!$F163/12*Assumptions!$F137</f>
        <v>1833.3333333333333</v>
      </c>
      <c r="AL75" s="228">
        <f>+Assumptions!$F163/12*Assumptions!$F137</f>
        <v>1833.3333333333333</v>
      </c>
      <c r="AM75" s="288">
        <f>+Assumptions!$G163/12*Assumptions!$G137</f>
        <v>1833.3333333333333</v>
      </c>
      <c r="AN75" s="227">
        <f>+Assumptions!$G163/12*Assumptions!$G137</f>
        <v>1833.3333333333333</v>
      </c>
      <c r="AO75" s="227">
        <f>+Assumptions!$G163/12*Assumptions!$G137</f>
        <v>1833.3333333333333</v>
      </c>
      <c r="AP75" s="227">
        <f>+Assumptions!$G163/12*Assumptions!$G137</f>
        <v>1833.3333333333333</v>
      </c>
      <c r="AQ75" s="227">
        <f>+Assumptions!$G163/12*Assumptions!$G137</f>
        <v>1833.3333333333333</v>
      </c>
      <c r="AR75" s="227">
        <f>+Assumptions!$G163/12*Assumptions!$G137</f>
        <v>1833.3333333333333</v>
      </c>
      <c r="AS75" s="227">
        <f>+Assumptions!$G163/12*Assumptions!$G137</f>
        <v>1833.3333333333333</v>
      </c>
      <c r="AT75" s="227">
        <f>+Assumptions!$G163/12*Assumptions!$G137</f>
        <v>1833.3333333333333</v>
      </c>
      <c r="AU75" s="227">
        <f>+Assumptions!$G163/12*Assumptions!$G137</f>
        <v>1833.3333333333333</v>
      </c>
      <c r="AV75" s="227">
        <f>+Assumptions!$G163/12*Assumptions!$G137</f>
        <v>1833.3333333333333</v>
      </c>
      <c r="AW75" s="227">
        <f>+Assumptions!$G163/12*Assumptions!$G137</f>
        <v>1833.3333333333333</v>
      </c>
      <c r="AX75" s="228">
        <f>+Assumptions!$G163/12*Assumptions!$G137</f>
        <v>1833.3333333333333</v>
      </c>
      <c r="AY75" s="288">
        <f>+Assumptions!$H163/12*Assumptions!$H137</f>
        <v>1833.3333333333333</v>
      </c>
      <c r="AZ75" s="227">
        <f>+Assumptions!$H163/12*Assumptions!$H137</f>
        <v>1833.3333333333333</v>
      </c>
      <c r="BA75" s="227">
        <f>+Assumptions!$H163/12*Assumptions!$H137</f>
        <v>1833.3333333333333</v>
      </c>
      <c r="BB75" s="227">
        <f>+Assumptions!$H163/12*Assumptions!$H137</f>
        <v>1833.3333333333333</v>
      </c>
      <c r="BC75" s="227">
        <f>+Assumptions!$H163/12*Assumptions!$H137</f>
        <v>1833.3333333333333</v>
      </c>
      <c r="BD75" s="227">
        <f>+Assumptions!$H163/12*Assumptions!$H137</f>
        <v>1833.3333333333333</v>
      </c>
      <c r="BE75" s="227">
        <f>+Assumptions!$H163/12*Assumptions!$H137</f>
        <v>1833.3333333333333</v>
      </c>
      <c r="BF75" s="227">
        <f>+Assumptions!$H163/12*Assumptions!$H137</f>
        <v>1833.3333333333333</v>
      </c>
      <c r="BG75" s="227">
        <f>+Assumptions!$H163/12*Assumptions!$H137</f>
        <v>1833.3333333333333</v>
      </c>
      <c r="BH75" s="227">
        <f>+Assumptions!$H163/12*Assumptions!$H137</f>
        <v>1833.3333333333333</v>
      </c>
      <c r="BI75" s="227">
        <f>+Assumptions!$H163/12*Assumptions!$H137</f>
        <v>1833.3333333333333</v>
      </c>
      <c r="BJ75" s="228">
        <f>+Assumptions!$H163/12*Assumptions!$H137</f>
        <v>1833.3333333333333</v>
      </c>
    </row>
    <row r="76" spans="2:62" ht="15.75">
      <c r="B76" s="215" t="str">
        <f t="shared" si="75"/>
        <v>Marketing Specialist</v>
      </c>
      <c r="C76" s="227">
        <f>+Assumptions!$D164/12*Assumptions!$D138</f>
        <v>0</v>
      </c>
      <c r="D76" s="227">
        <f>+Assumptions!$D164/12*Assumptions!$D138</f>
        <v>0</v>
      </c>
      <c r="E76" s="227">
        <f>+Assumptions!$D164/12*Assumptions!$D138</f>
        <v>0</v>
      </c>
      <c r="F76" s="227">
        <f>+Assumptions!$D164/12*Assumptions!$D138</f>
        <v>0</v>
      </c>
      <c r="G76" s="227">
        <f>+Assumptions!$D164/12*Assumptions!$D138</f>
        <v>0</v>
      </c>
      <c r="H76" s="227">
        <f>+Assumptions!$D164/12*Assumptions!$D138</f>
        <v>0</v>
      </c>
      <c r="I76" s="227">
        <f>+Assumptions!$D164/12*Assumptions!$D138</f>
        <v>0</v>
      </c>
      <c r="J76" s="227">
        <f>+Assumptions!$D164/12*Assumptions!$D138</f>
        <v>0</v>
      </c>
      <c r="K76" s="227">
        <f>+Assumptions!$D164/12*Assumptions!$D138</f>
        <v>0</v>
      </c>
      <c r="L76" s="227">
        <f>+Assumptions!$D164/12*Assumptions!$D138</f>
        <v>0</v>
      </c>
      <c r="M76" s="227">
        <f>+Assumptions!$D164/12*Assumptions!$D138</f>
        <v>0</v>
      </c>
      <c r="N76" s="227">
        <f>+Assumptions!$D164/12*Assumptions!$D138</f>
        <v>0</v>
      </c>
      <c r="O76" s="288">
        <f>+Assumptions!$E164/12*Assumptions!$E138</f>
        <v>0</v>
      </c>
      <c r="P76" s="227">
        <f>+Assumptions!$E164/12*Assumptions!$E138</f>
        <v>0</v>
      </c>
      <c r="Q76" s="227">
        <f>+Assumptions!$E164/12*Assumptions!$E138</f>
        <v>0</v>
      </c>
      <c r="R76" s="227">
        <f>+Assumptions!$E164/12*Assumptions!$E138</f>
        <v>0</v>
      </c>
      <c r="S76" s="227">
        <f>+Assumptions!$E164/12*Assumptions!$E138</f>
        <v>0</v>
      </c>
      <c r="T76" s="227">
        <f>+Assumptions!$E164/12*Assumptions!$E138</f>
        <v>0</v>
      </c>
      <c r="U76" s="227">
        <f>+Assumptions!$E164/12*Assumptions!$E138</f>
        <v>0</v>
      </c>
      <c r="V76" s="227">
        <f>+Assumptions!$E164/12*Assumptions!$E138</f>
        <v>0</v>
      </c>
      <c r="W76" s="227">
        <f>+Assumptions!$E164/12*Assumptions!$E138</f>
        <v>0</v>
      </c>
      <c r="X76" s="227">
        <f>+Assumptions!$E164/12*Assumptions!$E138</f>
        <v>0</v>
      </c>
      <c r="Y76" s="227">
        <f>+Assumptions!$E164/12*Assumptions!$E138</f>
        <v>0</v>
      </c>
      <c r="Z76" s="228">
        <f>+Assumptions!$E164/12*Assumptions!$E138</f>
        <v>0</v>
      </c>
      <c r="AA76" s="288">
        <f>+Assumptions!$F164/12*Assumptions!$F138</f>
        <v>1666.6666666666667</v>
      </c>
      <c r="AB76" s="227">
        <f>+Assumptions!$F164/12*Assumptions!$F138</f>
        <v>1666.6666666666667</v>
      </c>
      <c r="AC76" s="227">
        <f>+Assumptions!$F164/12*Assumptions!$F138</f>
        <v>1666.6666666666667</v>
      </c>
      <c r="AD76" s="227">
        <f>+Assumptions!$F164/12*Assumptions!$F138</f>
        <v>1666.6666666666667</v>
      </c>
      <c r="AE76" s="227">
        <f>+Assumptions!$F164/12*Assumptions!$F138</f>
        <v>1666.6666666666667</v>
      </c>
      <c r="AF76" s="227">
        <f>+Assumptions!$F164/12*Assumptions!$F138</f>
        <v>1666.6666666666667</v>
      </c>
      <c r="AG76" s="227">
        <f>+Assumptions!$F164/12*Assumptions!$F138</f>
        <v>1666.6666666666667</v>
      </c>
      <c r="AH76" s="227">
        <f>+Assumptions!$F164/12*Assumptions!$F138</f>
        <v>1666.6666666666667</v>
      </c>
      <c r="AI76" s="227">
        <f>+Assumptions!$F164/12*Assumptions!$F138</f>
        <v>1666.6666666666667</v>
      </c>
      <c r="AJ76" s="227">
        <f>+Assumptions!$F164/12*Assumptions!$F138</f>
        <v>1666.6666666666667</v>
      </c>
      <c r="AK76" s="227">
        <f>+Assumptions!$F164/12*Assumptions!$F138</f>
        <v>1666.6666666666667</v>
      </c>
      <c r="AL76" s="228">
        <f>+Assumptions!$F164/12*Assumptions!$F138</f>
        <v>1666.6666666666667</v>
      </c>
      <c r="AM76" s="288">
        <f>+Assumptions!$G164/12*Assumptions!$G138</f>
        <v>1666.6666666666667</v>
      </c>
      <c r="AN76" s="227">
        <f>+Assumptions!$G164/12*Assumptions!$G138</f>
        <v>1666.6666666666667</v>
      </c>
      <c r="AO76" s="227">
        <f>+Assumptions!$G164/12*Assumptions!$G138</f>
        <v>1666.6666666666667</v>
      </c>
      <c r="AP76" s="227">
        <f>+Assumptions!$G164/12*Assumptions!$G138</f>
        <v>1666.6666666666667</v>
      </c>
      <c r="AQ76" s="227">
        <f>+Assumptions!$G164/12*Assumptions!$G138</f>
        <v>1666.6666666666667</v>
      </c>
      <c r="AR76" s="227">
        <f>+Assumptions!$G164/12*Assumptions!$G138</f>
        <v>1666.6666666666667</v>
      </c>
      <c r="AS76" s="227">
        <f>+Assumptions!$G164/12*Assumptions!$G138</f>
        <v>1666.6666666666667</v>
      </c>
      <c r="AT76" s="227">
        <f>+Assumptions!$G164/12*Assumptions!$G138</f>
        <v>1666.6666666666667</v>
      </c>
      <c r="AU76" s="227">
        <f>+Assumptions!$G164/12*Assumptions!$G138</f>
        <v>1666.6666666666667</v>
      </c>
      <c r="AV76" s="227">
        <f>+Assumptions!$G164/12*Assumptions!$G138</f>
        <v>1666.6666666666667</v>
      </c>
      <c r="AW76" s="227">
        <f>+Assumptions!$G164/12*Assumptions!$G138</f>
        <v>1666.6666666666667</v>
      </c>
      <c r="AX76" s="228">
        <f>+Assumptions!$G164/12*Assumptions!$G138</f>
        <v>1666.6666666666667</v>
      </c>
      <c r="AY76" s="288">
        <f>+Assumptions!$H164/12*Assumptions!$H138</f>
        <v>3333.3333333333335</v>
      </c>
      <c r="AZ76" s="227">
        <f>+Assumptions!$H164/12*Assumptions!$H138</f>
        <v>3333.3333333333335</v>
      </c>
      <c r="BA76" s="227">
        <f>+Assumptions!$H164/12*Assumptions!$H138</f>
        <v>3333.3333333333335</v>
      </c>
      <c r="BB76" s="227">
        <f>+Assumptions!$H164/12*Assumptions!$H138</f>
        <v>3333.3333333333335</v>
      </c>
      <c r="BC76" s="227">
        <f>+Assumptions!$H164/12*Assumptions!$H138</f>
        <v>3333.3333333333335</v>
      </c>
      <c r="BD76" s="227">
        <f>+Assumptions!$H164/12*Assumptions!$H138</f>
        <v>3333.3333333333335</v>
      </c>
      <c r="BE76" s="227">
        <f>+Assumptions!$H164/12*Assumptions!$H138</f>
        <v>3333.3333333333335</v>
      </c>
      <c r="BF76" s="227">
        <f>+Assumptions!$H164/12*Assumptions!$H138</f>
        <v>3333.3333333333335</v>
      </c>
      <c r="BG76" s="227">
        <f>+Assumptions!$H164/12*Assumptions!$H138</f>
        <v>3333.3333333333335</v>
      </c>
      <c r="BH76" s="227">
        <f>+Assumptions!$H164/12*Assumptions!$H138</f>
        <v>3333.3333333333335</v>
      </c>
      <c r="BI76" s="227">
        <f>+Assumptions!$H164/12*Assumptions!$H138</f>
        <v>3333.3333333333335</v>
      </c>
      <c r="BJ76" s="228">
        <f>+Assumptions!$H164/12*Assumptions!$H138</f>
        <v>3333.3333333333335</v>
      </c>
    </row>
    <row r="77" spans="2:62" ht="15.75">
      <c r="B77" s="215" t="str">
        <f t="shared" si="75"/>
        <v>Junior Developer</v>
      </c>
      <c r="C77" s="227">
        <f>+Assumptions!$D165/12*Assumptions!$D139</f>
        <v>0</v>
      </c>
      <c r="D77" s="227">
        <f>+Assumptions!$D165/12*Assumptions!$D139</f>
        <v>0</v>
      </c>
      <c r="E77" s="227">
        <f>+Assumptions!$D165/12*Assumptions!$D139</f>
        <v>0</v>
      </c>
      <c r="F77" s="227">
        <f>+Assumptions!$D165/12*Assumptions!$D139</f>
        <v>0</v>
      </c>
      <c r="G77" s="227">
        <f>+Assumptions!$D165/12*Assumptions!$D139</f>
        <v>0</v>
      </c>
      <c r="H77" s="227">
        <f>+Assumptions!$D165/12*Assumptions!$D139</f>
        <v>0</v>
      </c>
      <c r="I77" s="227">
        <f>+Assumptions!$D165/12*Assumptions!$D139</f>
        <v>0</v>
      </c>
      <c r="J77" s="227">
        <f>+Assumptions!$D165/12*Assumptions!$D139</f>
        <v>0</v>
      </c>
      <c r="K77" s="227">
        <f>+Assumptions!$D165/12*Assumptions!$D139</f>
        <v>0</v>
      </c>
      <c r="L77" s="227">
        <f>+Assumptions!$D165/12*Assumptions!$D139</f>
        <v>0</v>
      </c>
      <c r="M77" s="227">
        <f>+Assumptions!$D165/12*Assumptions!$D139</f>
        <v>0</v>
      </c>
      <c r="N77" s="227">
        <f>+Assumptions!$D165/12*Assumptions!$D139</f>
        <v>0</v>
      </c>
      <c r="O77" s="288">
        <f>+Assumptions!$E165/12*Assumptions!$E139</f>
        <v>1666.6666666666667</v>
      </c>
      <c r="P77" s="227">
        <f>+Assumptions!$E165/12*Assumptions!$E139</f>
        <v>1666.6666666666667</v>
      </c>
      <c r="Q77" s="227">
        <f>+Assumptions!$E165/12*Assumptions!$E139</f>
        <v>1666.6666666666667</v>
      </c>
      <c r="R77" s="227">
        <f>+Assumptions!$E165/12*Assumptions!$E139</f>
        <v>1666.6666666666667</v>
      </c>
      <c r="S77" s="227">
        <f>+Assumptions!$E165/12*Assumptions!$E139</f>
        <v>1666.6666666666667</v>
      </c>
      <c r="T77" s="227">
        <f>+Assumptions!$E165/12*Assumptions!$E139</f>
        <v>1666.6666666666667</v>
      </c>
      <c r="U77" s="227">
        <f>+Assumptions!$E165/12*Assumptions!$E139</f>
        <v>1666.6666666666667</v>
      </c>
      <c r="V77" s="227">
        <f>+Assumptions!$E165/12*Assumptions!$E139</f>
        <v>1666.6666666666667</v>
      </c>
      <c r="W77" s="227">
        <f>+Assumptions!$E165/12*Assumptions!$E139</f>
        <v>1666.6666666666667</v>
      </c>
      <c r="X77" s="227">
        <f>+Assumptions!$E165/12*Assumptions!$E139</f>
        <v>1666.6666666666667</v>
      </c>
      <c r="Y77" s="227">
        <f>+Assumptions!$E165/12*Assumptions!$E139</f>
        <v>1666.6666666666667</v>
      </c>
      <c r="Z77" s="228">
        <f>+Assumptions!$E165/12*Assumptions!$E139</f>
        <v>1666.6666666666667</v>
      </c>
      <c r="AA77" s="288">
        <f>+Assumptions!$F165/12*Assumptions!$F139</f>
        <v>3333.3333333333335</v>
      </c>
      <c r="AB77" s="227">
        <f>+Assumptions!$F165/12*Assumptions!$F139</f>
        <v>3333.3333333333335</v>
      </c>
      <c r="AC77" s="227">
        <f>+Assumptions!$F165/12*Assumptions!$F139</f>
        <v>3333.3333333333335</v>
      </c>
      <c r="AD77" s="227">
        <f>+Assumptions!$F165/12*Assumptions!$F139</f>
        <v>3333.3333333333335</v>
      </c>
      <c r="AE77" s="227">
        <f>+Assumptions!$F165/12*Assumptions!$F139</f>
        <v>3333.3333333333335</v>
      </c>
      <c r="AF77" s="227">
        <f>+Assumptions!$F165/12*Assumptions!$F139</f>
        <v>3333.3333333333335</v>
      </c>
      <c r="AG77" s="227">
        <f>+Assumptions!$F165/12*Assumptions!$F139</f>
        <v>3333.3333333333335</v>
      </c>
      <c r="AH77" s="227">
        <f>+Assumptions!$F165/12*Assumptions!$F139</f>
        <v>3333.3333333333335</v>
      </c>
      <c r="AI77" s="227">
        <f>+Assumptions!$F165/12*Assumptions!$F139</f>
        <v>3333.3333333333335</v>
      </c>
      <c r="AJ77" s="227">
        <f>+Assumptions!$F165/12*Assumptions!$F139</f>
        <v>3333.3333333333335</v>
      </c>
      <c r="AK77" s="227">
        <f>+Assumptions!$F165/12*Assumptions!$F139</f>
        <v>3333.3333333333335</v>
      </c>
      <c r="AL77" s="228">
        <f>+Assumptions!$F165/12*Assumptions!$F139</f>
        <v>3333.3333333333335</v>
      </c>
      <c r="AM77" s="288">
        <f>+Assumptions!$G165/12*Assumptions!$G139</f>
        <v>3333.3333333333335</v>
      </c>
      <c r="AN77" s="227">
        <f>+Assumptions!$G165/12*Assumptions!$G139</f>
        <v>3333.3333333333335</v>
      </c>
      <c r="AO77" s="227">
        <f>+Assumptions!$G165/12*Assumptions!$G139</f>
        <v>3333.3333333333335</v>
      </c>
      <c r="AP77" s="227">
        <f>+Assumptions!$G165/12*Assumptions!$G139</f>
        <v>3333.3333333333335</v>
      </c>
      <c r="AQ77" s="227">
        <f>+Assumptions!$G165/12*Assumptions!$G139</f>
        <v>3333.3333333333335</v>
      </c>
      <c r="AR77" s="227">
        <f>+Assumptions!$G165/12*Assumptions!$G139</f>
        <v>3333.3333333333335</v>
      </c>
      <c r="AS77" s="227">
        <f>+Assumptions!$G165/12*Assumptions!$G139</f>
        <v>3333.3333333333335</v>
      </c>
      <c r="AT77" s="227">
        <f>+Assumptions!$G165/12*Assumptions!$G139</f>
        <v>3333.3333333333335</v>
      </c>
      <c r="AU77" s="227">
        <f>+Assumptions!$G165/12*Assumptions!$G139</f>
        <v>3333.3333333333335</v>
      </c>
      <c r="AV77" s="227">
        <f>+Assumptions!$G165/12*Assumptions!$G139</f>
        <v>3333.3333333333335</v>
      </c>
      <c r="AW77" s="227">
        <f>+Assumptions!$G165/12*Assumptions!$G139</f>
        <v>3333.3333333333335</v>
      </c>
      <c r="AX77" s="228">
        <f>+Assumptions!$G165/12*Assumptions!$G139</f>
        <v>3333.3333333333335</v>
      </c>
      <c r="AY77" s="288">
        <f>+Assumptions!$H165/12*Assumptions!$H139</f>
        <v>3333.3333333333335</v>
      </c>
      <c r="AZ77" s="227">
        <f>+Assumptions!$H165/12*Assumptions!$H139</f>
        <v>3333.3333333333335</v>
      </c>
      <c r="BA77" s="227">
        <f>+Assumptions!$H165/12*Assumptions!$H139</f>
        <v>3333.3333333333335</v>
      </c>
      <c r="BB77" s="227">
        <f>+Assumptions!$H165/12*Assumptions!$H139</f>
        <v>3333.3333333333335</v>
      </c>
      <c r="BC77" s="227">
        <f>+Assumptions!$H165/12*Assumptions!$H139</f>
        <v>3333.3333333333335</v>
      </c>
      <c r="BD77" s="227">
        <f>+Assumptions!$H165/12*Assumptions!$H139</f>
        <v>3333.3333333333335</v>
      </c>
      <c r="BE77" s="227">
        <f>+Assumptions!$H165/12*Assumptions!$H139</f>
        <v>3333.3333333333335</v>
      </c>
      <c r="BF77" s="227">
        <f>+Assumptions!$H165/12*Assumptions!$H139</f>
        <v>3333.3333333333335</v>
      </c>
      <c r="BG77" s="227">
        <f>+Assumptions!$H165/12*Assumptions!$H139</f>
        <v>3333.3333333333335</v>
      </c>
      <c r="BH77" s="227">
        <f>+Assumptions!$H165/12*Assumptions!$H139</f>
        <v>3333.3333333333335</v>
      </c>
      <c r="BI77" s="227">
        <f>+Assumptions!$H165/12*Assumptions!$H139</f>
        <v>3333.3333333333335</v>
      </c>
      <c r="BJ77" s="228">
        <f>+Assumptions!$H165/12*Assumptions!$H139</f>
        <v>3333.3333333333335</v>
      </c>
    </row>
    <row r="78" spans="2:62" ht="15.75">
      <c r="B78" s="215">
        <f t="shared" si="75"/>
        <v>0</v>
      </c>
      <c r="C78" s="227">
        <f>+Assumptions!$D166/12*Assumptions!$D140</f>
        <v>0</v>
      </c>
      <c r="D78" s="227">
        <f>+Assumptions!$D166/12*Assumptions!$D140</f>
        <v>0</v>
      </c>
      <c r="E78" s="227">
        <f>+Assumptions!$D166/12*Assumptions!$D140</f>
        <v>0</v>
      </c>
      <c r="F78" s="227">
        <f>+Assumptions!$D166/12*Assumptions!$D140</f>
        <v>0</v>
      </c>
      <c r="G78" s="227">
        <f>+Assumptions!$D166/12*Assumptions!$D140</f>
        <v>0</v>
      </c>
      <c r="H78" s="227">
        <f>+Assumptions!$D166/12*Assumptions!$D140</f>
        <v>0</v>
      </c>
      <c r="I78" s="227">
        <f>+Assumptions!$D166/12*Assumptions!$D140</f>
        <v>0</v>
      </c>
      <c r="J78" s="227">
        <f>+Assumptions!$D166/12*Assumptions!$D140</f>
        <v>0</v>
      </c>
      <c r="K78" s="227">
        <f>+Assumptions!$D166/12*Assumptions!$D140</f>
        <v>0</v>
      </c>
      <c r="L78" s="227">
        <f>+Assumptions!$D166/12*Assumptions!$D140</f>
        <v>0</v>
      </c>
      <c r="M78" s="227">
        <f>+Assumptions!$D166/12*Assumptions!$D140</f>
        <v>0</v>
      </c>
      <c r="N78" s="227">
        <f>+Assumptions!$D166/12*Assumptions!$D140</f>
        <v>0</v>
      </c>
      <c r="O78" s="288">
        <f>+Assumptions!$E166/12*Assumptions!$E140</f>
        <v>0</v>
      </c>
      <c r="P78" s="227">
        <f>+Assumptions!$E166/12*Assumptions!$E140</f>
        <v>0</v>
      </c>
      <c r="Q78" s="227">
        <f>+Assumptions!$E166/12*Assumptions!$E140</f>
        <v>0</v>
      </c>
      <c r="R78" s="227">
        <f>+Assumptions!$E166/12*Assumptions!$E140</f>
        <v>0</v>
      </c>
      <c r="S78" s="227">
        <f>+Assumptions!$E166/12*Assumptions!$E140</f>
        <v>0</v>
      </c>
      <c r="T78" s="227">
        <f>+Assumptions!$E166/12*Assumptions!$E140</f>
        <v>0</v>
      </c>
      <c r="U78" s="227">
        <f>+Assumptions!$E166/12*Assumptions!$E140</f>
        <v>0</v>
      </c>
      <c r="V78" s="227">
        <f>+Assumptions!$E166/12*Assumptions!$E140</f>
        <v>0</v>
      </c>
      <c r="W78" s="227">
        <f>+Assumptions!$E166/12*Assumptions!$E140</f>
        <v>0</v>
      </c>
      <c r="X78" s="227">
        <f>+Assumptions!$E166/12*Assumptions!$E140</f>
        <v>0</v>
      </c>
      <c r="Y78" s="227">
        <f>+Assumptions!$E166/12*Assumptions!$E140</f>
        <v>0</v>
      </c>
      <c r="Z78" s="228">
        <f>+Assumptions!$E166/12*Assumptions!$E140</f>
        <v>0</v>
      </c>
      <c r="AA78" s="288">
        <f>+Assumptions!$F166/12*Assumptions!$F140</f>
        <v>0</v>
      </c>
      <c r="AB78" s="227">
        <f>+Assumptions!$F166/12*Assumptions!$F140</f>
        <v>0</v>
      </c>
      <c r="AC78" s="227">
        <f>+Assumptions!$F166/12*Assumptions!$F140</f>
        <v>0</v>
      </c>
      <c r="AD78" s="227">
        <f>+Assumptions!$F166/12*Assumptions!$F140</f>
        <v>0</v>
      </c>
      <c r="AE78" s="227">
        <f>+Assumptions!$F166/12*Assumptions!$F140</f>
        <v>0</v>
      </c>
      <c r="AF78" s="227">
        <f>+Assumptions!$F166/12*Assumptions!$F140</f>
        <v>0</v>
      </c>
      <c r="AG78" s="227">
        <f>+Assumptions!$F166/12*Assumptions!$F140</f>
        <v>0</v>
      </c>
      <c r="AH78" s="227">
        <f>+Assumptions!$F166/12*Assumptions!$F140</f>
        <v>0</v>
      </c>
      <c r="AI78" s="227">
        <f>+Assumptions!$F166/12*Assumptions!$F140</f>
        <v>0</v>
      </c>
      <c r="AJ78" s="227">
        <f>+Assumptions!$F166/12*Assumptions!$F140</f>
        <v>0</v>
      </c>
      <c r="AK78" s="227">
        <f>+Assumptions!$F166/12*Assumptions!$F140</f>
        <v>0</v>
      </c>
      <c r="AL78" s="228">
        <f>+Assumptions!$F166/12*Assumptions!$F140</f>
        <v>0</v>
      </c>
      <c r="AM78" s="288">
        <f>+Assumptions!$G166/12*Assumptions!$G140</f>
        <v>0</v>
      </c>
      <c r="AN78" s="227">
        <f>+Assumptions!$G166/12*Assumptions!$G140</f>
        <v>0</v>
      </c>
      <c r="AO78" s="227">
        <f>+Assumptions!$G166/12*Assumptions!$G140</f>
        <v>0</v>
      </c>
      <c r="AP78" s="227">
        <f>+Assumptions!$G166/12*Assumptions!$G140</f>
        <v>0</v>
      </c>
      <c r="AQ78" s="227">
        <f>+Assumptions!$G166/12*Assumptions!$G140</f>
        <v>0</v>
      </c>
      <c r="AR78" s="227">
        <f>+Assumptions!$G166/12*Assumptions!$G140</f>
        <v>0</v>
      </c>
      <c r="AS78" s="227">
        <f>+Assumptions!$G166/12*Assumptions!$G140</f>
        <v>0</v>
      </c>
      <c r="AT78" s="227">
        <f>+Assumptions!$G166/12*Assumptions!$G140</f>
        <v>0</v>
      </c>
      <c r="AU78" s="227">
        <f>+Assumptions!$G166/12*Assumptions!$G140</f>
        <v>0</v>
      </c>
      <c r="AV78" s="227">
        <f>+Assumptions!$G166/12*Assumptions!$G140</f>
        <v>0</v>
      </c>
      <c r="AW78" s="227">
        <f>+Assumptions!$G166/12*Assumptions!$G140</f>
        <v>0</v>
      </c>
      <c r="AX78" s="228">
        <f>+Assumptions!$G166/12*Assumptions!$G140</f>
        <v>0</v>
      </c>
      <c r="AY78" s="288">
        <f>+Assumptions!$H166/12*Assumptions!$H140</f>
        <v>0</v>
      </c>
      <c r="AZ78" s="227">
        <f>+Assumptions!$H166/12*Assumptions!$H140</f>
        <v>0</v>
      </c>
      <c r="BA78" s="227">
        <f>+Assumptions!$H166/12*Assumptions!$H140</f>
        <v>0</v>
      </c>
      <c r="BB78" s="227">
        <f>+Assumptions!$H166/12*Assumptions!$H140</f>
        <v>0</v>
      </c>
      <c r="BC78" s="227">
        <f>+Assumptions!$H166/12*Assumptions!$H140</f>
        <v>0</v>
      </c>
      <c r="BD78" s="227">
        <f>+Assumptions!$H166/12*Assumptions!$H140</f>
        <v>0</v>
      </c>
      <c r="BE78" s="227">
        <f>+Assumptions!$H166/12*Assumptions!$H140</f>
        <v>0</v>
      </c>
      <c r="BF78" s="227">
        <f>+Assumptions!$H166/12*Assumptions!$H140</f>
        <v>0</v>
      </c>
      <c r="BG78" s="227">
        <f>+Assumptions!$H166/12*Assumptions!$H140</f>
        <v>0</v>
      </c>
      <c r="BH78" s="227">
        <f>+Assumptions!$H166/12*Assumptions!$H140</f>
        <v>0</v>
      </c>
      <c r="BI78" s="227">
        <f>+Assumptions!$H166/12*Assumptions!$H140</f>
        <v>0</v>
      </c>
      <c r="BJ78" s="228">
        <f>+Assumptions!$H166/12*Assumptions!$H140</f>
        <v>0</v>
      </c>
    </row>
    <row r="79" spans="2:62" ht="15.75">
      <c r="B79" s="215">
        <f t="shared" si="75"/>
        <v>0</v>
      </c>
      <c r="C79" s="227">
        <f>+Assumptions!$D167/12*Assumptions!$D141</f>
        <v>0</v>
      </c>
      <c r="D79" s="227">
        <f>+Assumptions!$D167/12*Assumptions!$D141</f>
        <v>0</v>
      </c>
      <c r="E79" s="227">
        <f>+Assumptions!$D167/12*Assumptions!$D141</f>
        <v>0</v>
      </c>
      <c r="F79" s="227">
        <f>+Assumptions!$D167/12*Assumptions!$D141</f>
        <v>0</v>
      </c>
      <c r="G79" s="227">
        <f>+Assumptions!$D167/12*Assumptions!$D141</f>
        <v>0</v>
      </c>
      <c r="H79" s="227">
        <f>+Assumptions!$D167/12*Assumptions!$D141</f>
        <v>0</v>
      </c>
      <c r="I79" s="227">
        <f>+Assumptions!$D167/12*Assumptions!$D141</f>
        <v>0</v>
      </c>
      <c r="J79" s="227">
        <f>+Assumptions!$D167/12*Assumptions!$D141</f>
        <v>0</v>
      </c>
      <c r="K79" s="227">
        <f>+Assumptions!$D167/12*Assumptions!$D141</f>
        <v>0</v>
      </c>
      <c r="L79" s="227">
        <f>+Assumptions!$D167/12*Assumptions!$D141</f>
        <v>0</v>
      </c>
      <c r="M79" s="227">
        <f>+Assumptions!$D167/12*Assumptions!$D141</f>
        <v>0</v>
      </c>
      <c r="N79" s="227">
        <f>+Assumptions!$D167/12*Assumptions!$D141</f>
        <v>0</v>
      </c>
      <c r="O79" s="288">
        <f>+Assumptions!$E167/12*Assumptions!$E141</f>
        <v>0</v>
      </c>
      <c r="P79" s="227">
        <f>+Assumptions!$E167/12*Assumptions!$E141</f>
        <v>0</v>
      </c>
      <c r="Q79" s="227">
        <f>+Assumptions!$E167/12*Assumptions!$E141</f>
        <v>0</v>
      </c>
      <c r="R79" s="227">
        <f>+Assumptions!$E167/12*Assumptions!$E141</f>
        <v>0</v>
      </c>
      <c r="S79" s="227">
        <f>+Assumptions!$E167/12*Assumptions!$E141</f>
        <v>0</v>
      </c>
      <c r="T79" s="227">
        <f>+Assumptions!$E167/12*Assumptions!$E141</f>
        <v>0</v>
      </c>
      <c r="U79" s="227">
        <f>+Assumptions!$E167/12*Assumptions!$E141</f>
        <v>0</v>
      </c>
      <c r="V79" s="227">
        <f>+Assumptions!$E167/12*Assumptions!$E141</f>
        <v>0</v>
      </c>
      <c r="W79" s="227">
        <f>+Assumptions!$E167/12*Assumptions!$E141</f>
        <v>0</v>
      </c>
      <c r="X79" s="227">
        <f>+Assumptions!$E167/12*Assumptions!$E141</f>
        <v>0</v>
      </c>
      <c r="Y79" s="227">
        <f>+Assumptions!$E167/12*Assumptions!$E141</f>
        <v>0</v>
      </c>
      <c r="Z79" s="228">
        <f>+Assumptions!$E167/12*Assumptions!$E141</f>
        <v>0</v>
      </c>
      <c r="AA79" s="288">
        <f>+Assumptions!$F167/12*Assumptions!$F141</f>
        <v>0</v>
      </c>
      <c r="AB79" s="227">
        <f>+Assumptions!$F167/12*Assumptions!$F141</f>
        <v>0</v>
      </c>
      <c r="AC79" s="227">
        <f>+Assumptions!$F167/12*Assumptions!$F141</f>
        <v>0</v>
      </c>
      <c r="AD79" s="227">
        <f>+Assumptions!$F167/12*Assumptions!$F141</f>
        <v>0</v>
      </c>
      <c r="AE79" s="227">
        <f>+Assumptions!$F167/12*Assumptions!$F141</f>
        <v>0</v>
      </c>
      <c r="AF79" s="227">
        <f>+Assumptions!$F167/12*Assumptions!$F141</f>
        <v>0</v>
      </c>
      <c r="AG79" s="227">
        <f>+Assumptions!$F167/12*Assumptions!$F141</f>
        <v>0</v>
      </c>
      <c r="AH79" s="227">
        <f>+Assumptions!$F167/12*Assumptions!$F141</f>
        <v>0</v>
      </c>
      <c r="AI79" s="227">
        <f>+Assumptions!$F167/12*Assumptions!$F141</f>
        <v>0</v>
      </c>
      <c r="AJ79" s="227">
        <f>+Assumptions!$F167/12*Assumptions!$F141</f>
        <v>0</v>
      </c>
      <c r="AK79" s="227">
        <f>+Assumptions!$F167/12*Assumptions!$F141</f>
        <v>0</v>
      </c>
      <c r="AL79" s="228">
        <f>+Assumptions!$F167/12*Assumptions!$F141</f>
        <v>0</v>
      </c>
      <c r="AM79" s="288">
        <f>+Assumptions!$G167/12*Assumptions!$G141</f>
        <v>0</v>
      </c>
      <c r="AN79" s="227">
        <f>+Assumptions!$G167/12*Assumptions!$G141</f>
        <v>0</v>
      </c>
      <c r="AO79" s="227">
        <f>+Assumptions!$G167/12*Assumptions!$G141</f>
        <v>0</v>
      </c>
      <c r="AP79" s="227">
        <f>+Assumptions!$G167/12*Assumptions!$G141</f>
        <v>0</v>
      </c>
      <c r="AQ79" s="227">
        <f>+Assumptions!$G167/12*Assumptions!$G141</f>
        <v>0</v>
      </c>
      <c r="AR79" s="227">
        <f>+Assumptions!$G167/12*Assumptions!$G141</f>
        <v>0</v>
      </c>
      <c r="AS79" s="227">
        <f>+Assumptions!$G167/12*Assumptions!$G141</f>
        <v>0</v>
      </c>
      <c r="AT79" s="227">
        <f>+Assumptions!$G167/12*Assumptions!$G141</f>
        <v>0</v>
      </c>
      <c r="AU79" s="227">
        <f>+Assumptions!$G167/12*Assumptions!$G141</f>
        <v>0</v>
      </c>
      <c r="AV79" s="227">
        <f>+Assumptions!$G167/12*Assumptions!$G141</f>
        <v>0</v>
      </c>
      <c r="AW79" s="227">
        <f>+Assumptions!$G167/12*Assumptions!$G141</f>
        <v>0</v>
      </c>
      <c r="AX79" s="228">
        <f>+Assumptions!$G167/12*Assumptions!$G141</f>
        <v>0</v>
      </c>
      <c r="AY79" s="288">
        <f>+Assumptions!$H167/12*Assumptions!$H141</f>
        <v>0</v>
      </c>
      <c r="AZ79" s="227">
        <f>+Assumptions!$H167/12*Assumptions!$H141</f>
        <v>0</v>
      </c>
      <c r="BA79" s="227">
        <f>+Assumptions!$H167/12*Assumptions!$H141</f>
        <v>0</v>
      </c>
      <c r="BB79" s="227">
        <f>+Assumptions!$H167/12*Assumptions!$H141</f>
        <v>0</v>
      </c>
      <c r="BC79" s="227">
        <f>+Assumptions!$H167/12*Assumptions!$H141</f>
        <v>0</v>
      </c>
      <c r="BD79" s="227">
        <f>+Assumptions!$H167/12*Assumptions!$H141</f>
        <v>0</v>
      </c>
      <c r="BE79" s="227">
        <f>+Assumptions!$H167/12*Assumptions!$H141</f>
        <v>0</v>
      </c>
      <c r="BF79" s="227">
        <f>+Assumptions!$H167/12*Assumptions!$H141</f>
        <v>0</v>
      </c>
      <c r="BG79" s="227">
        <f>+Assumptions!$H167/12*Assumptions!$H141</f>
        <v>0</v>
      </c>
      <c r="BH79" s="227">
        <f>+Assumptions!$H167/12*Assumptions!$H141</f>
        <v>0</v>
      </c>
      <c r="BI79" s="227">
        <f>+Assumptions!$H167/12*Assumptions!$H141</f>
        <v>0</v>
      </c>
      <c r="BJ79" s="228">
        <f>+Assumptions!$H167/12*Assumptions!$H141</f>
        <v>0</v>
      </c>
    </row>
    <row r="80" spans="2:62" ht="15.75">
      <c r="B80" s="215">
        <f t="shared" si="75"/>
        <v>0</v>
      </c>
      <c r="C80" s="227">
        <f>+Assumptions!$D168/12*Assumptions!$D142</f>
        <v>0</v>
      </c>
      <c r="D80" s="227">
        <f>+Assumptions!$D168/12*Assumptions!$D142</f>
        <v>0</v>
      </c>
      <c r="E80" s="227">
        <f>+Assumptions!$D168/12*Assumptions!$D142</f>
        <v>0</v>
      </c>
      <c r="F80" s="227">
        <f>+Assumptions!$D168/12*Assumptions!$D142</f>
        <v>0</v>
      </c>
      <c r="G80" s="227">
        <f>+Assumptions!$D168/12*Assumptions!$D142</f>
        <v>0</v>
      </c>
      <c r="H80" s="227">
        <f>+Assumptions!$D168/12*Assumptions!$D142</f>
        <v>0</v>
      </c>
      <c r="I80" s="227">
        <f>+Assumptions!$D168/12*Assumptions!$D142</f>
        <v>0</v>
      </c>
      <c r="J80" s="227">
        <f>+Assumptions!$D168/12*Assumptions!$D142</f>
        <v>0</v>
      </c>
      <c r="K80" s="227">
        <f>+Assumptions!$D168/12*Assumptions!$D142</f>
        <v>0</v>
      </c>
      <c r="L80" s="227">
        <f>+Assumptions!$D168/12*Assumptions!$D142</f>
        <v>0</v>
      </c>
      <c r="M80" s="227">
        <f>+Assumptions!$D168/12*Assumptions!$D142</f>
        <v>0</v>
      </c>
      <c r="N80" s="227">
        <f>+Assumptions!$D168/12*Assumptions!$D142</f>
        <v>0</v>
      </c>
      <c r="O80" s="288">
        <f>+Assumptions!$E168/12*Assumptions!$E142</f>
        <v>0</v>
      </c>
      <c r="P80" s="227">
        <f>+Assumptions!$E168/12*Assumptions!$E142</f>
        <v>0</v>
      </c>
      <c r="Q80" s="227">
        <f>+Assumptions!$E168/12*Assumptions!$E142</f>
        <v>0</v>
      </c>
      <c r="R80" s="227">
        <f>+Assumptions!$E168/12*Assumptions!$E142</f>
        <v>0</v>
      </c>
      <c r="S80" s="227">
        <f>+Assumptions!$E168/12*Assumptions!$E142</f>
        <v>0</v>
      </c>
      <c r="T80" s="227">
        <f>+Assumptions!$E168/12*Assumptions!$E142</f>
        <v>0</v>
      </c>
      <c r="U80" s="227">
        <f>+Assumptions!$E168/12*Assumptions!$E142</f>
        <v>0</v>
      </c>
      <c r="V80" s="227">
        <f>+Assumptions!$E168/12*Assumptions!$E142</f>
        <v>0</v>
      </c>
      <c r="W80" s="227">
        <f>+Assumptions!$E168/12*Assumptions!$E142</f>
        <v>0</v>
      </c>
      <c r="X80" s="227">
        <f>+Assumptions!$E168/12*Assumptions!$E142</f>
        <v>0</v>
      </c>
      <c r="Y80" s="227">
        <f>+Assumptions!$E168/12*Assumptions!$E142</f>
        <v>0</v>
      </c>
      <c r="Z80" s="228">
        <f>+Assumptions!$E168/12*Assumptions!$E142</f>
        <v>0</v>
      </c>
      <c r="AA80" s="288">
        <f>+Assumptions!$F168/12*Assumptions!$F142</f>
        <v>0</v>
      </c>
      <c r="AB80" s="227">
        <f>+Assumptions!$F168/12*Assumptions!$F142</f>
        <v>0</v>
      </c>
      <c r="AC80" s="227">
        <f>+Assumptions!$F168/12*Assumptions!$F142</f>
        <v>0</v>
      </c>
      <c r="AD80" s="227">
        <f>+Assumptions!$F168/12*Assumptions!$F142</f>
        <v>0</v>
      </c>
      <c r="AE80" s="227">
        <f>+Assumptions!$F168/12*Assumptions!$F142</f>
        <v>0</v>
      </c>
      <c r="AF80" s="227">
        <f>+Assumptions!$F168/12*Assumptions!$F142</f>
        <v>0</v>
      </c>
      <c r="AG80" s="227">
        <f>+Assumptions!$F168/12*Assumptions!$F142</f>
        <v>0</v>
      </c>
      <c r="AH80" s="227">
        <f>+Assumptions!$F168/12*Assumptions!$F142</f>
        <v>0</v>
      </c>
      <c r="AI80" s="227">
        <f>+Assumptions!$F168/12*Assumptions!$F142</f>
        <v>0</v>
      </c>
      <c r="AJ80" s="227">
        <f>+Assumptions!$F168/12*Assumptions!$F142</f>
        <v>0</v>
      </c>
      <c r="AK80" s="227">
        <f>+Assumptions!$F168/12*Assumptions!$F142</f>
        <v>0</v>
      </c>
      <c r="AL80" s="228">
        <f>+Assumptions!$F168/12*Assumptions!$F142</f>
        <v>0</v>
      </c>
      <c r="AM80" s="288">
        <f>+Assumptions!$G168/12*Assumptions!$G142</f>
        <v>0</v>
      </c>
      <c r="AN80" s="227">
        <f>+Assumptions!$G168/12*Assumptions!$G142</f>
        <v>0</v>
      </c>
      <c r="AO80" s="227">
        <f>+Assumptions!$G168/12*Assumptions!$G142</f>
        <v>0</v>
      </c>
      <c r="AP80" s="227">
        <f>+Assumptions!$G168/12*Assumptions!$G142</f>
        <v>0</v>
      </c>
      <c r="AQ80" s="227">
        <f>+Assumptions!$G168/12*Assumptions!$G142</f>
        <v>0</v>
      </c>
      <c r="AR80" s="227">
        <f>+Assumptions!$G168/12*Assumptions!$G142</f>
        <v>0</v>
      </c>
      <c r="AS80" s="227">
        <f>+Assumptions!$G168/12*Assumptions!$G142</f>
        <v>0</v>
      </c>
      <c r="AT80" s="227">
        <f>+Assumptions!$G168/12*Assumptions!$G142</f>
        <v>0</v>
      </c>
      <c r="AU80" s="227">
        <f>+Assumptions!$G168/12*Assumptions!$G142</f>
        <v>0</v>
      </c>
      <c r="AV80" s="227">
        <f>+Assumptions!$G168/12*Assumptions!$G142</f>
        <v>0</v>
      </c>
      <c r="AW80" s="227">
        <f>+Assumptions!$G168/12*Assumptions!$G142</f>
        <v>0</v>
      </c>
      <c r="AX80" s="228">
        <f>+Assumptions!$G168/12*Assumptions!$G142</f>
        <v>0</v>
      </c>
      <c r="AY80" s="288">
        <f>+Assumptions!$H168/12*Assumptions!$H142</f>
        <v>0</v>
      </c>
      <c r="AZ80" s="227">
        <f>+Assumptions!$H168/12*Assumptions!$H142</f>
        <v>0</v>
      </c>
      <c r="BA80" s="227">
        <f>+Assumptions!$H168/12*Assumptions!$H142</f>
        <v>0</v>
      </c>
      <c r="BB80" s="227">
        <f>+Assumptions!$H168/12*Assumptions!$H142</f>
        <v>0</v>
      </c>
      <c r="BC80" s="227">
        <f>+Assumptions!$H168/12*Assumptions!$H142</f>
        <v>0</v>
      </c>
      <c r="BD80" s="227">
        <f>+Assumptions!$H168/12*Assumptions!$H142</f>
        <v>0</v>
      </c>
      <c r="BE80" s="227">
        <f>+Assumptions!$H168/12*Assumptions!$H142</f>
        <v>0</v>
      </c>
      <c r="BF80" s="227">
        <f>+Assumptions!$H168/12*Assumptions!$H142</f>
        <v>0</v>
      </c>
      <c r="BG80" s="227">
        <f>+Assumptions!$H168/12*Assumptions!$H142</f>
        <v>0</v>
      </c>
      <c r="BH80" s="227">
        <f>+Assumptions!$H168/12*Assumptions!$H142</f>
        <v>0</v>
      </c>
      <c r="BI80" s="227">
        <f>+Assumptions!$H168/12*Assumptions!$H142</f>
        <v>0</v>
      </c>
      <c r="BJ80" s="228">
        <f>+Assumptions!$H168/12*Assumptions!$H142</f>
        <v>0</v>
      </c>
    </row>
    <row r="81" spans="2:62" ht="15.75">
      <c r="B81" s="215">
        <f t="shared" si="75"/>
        <v>0</v>
      </c>
      <c r="C81" s="227">
        <f>+Assumptions!$D169/12*Assumptions!$D143</f>
        <v>0</v>
      </c>
      <c r="D81" s="227">
        <f>+Assumptions!$D169/12*Assumptions!$D143</f>
        <v>0</v>
      </c>
      <c r="E81" s="227">
        <f>+Assumptions!$D169/12*Assumptions!$D143</f>
        <v>0</v>
      </c>
      <c r="F81" s="227">
        <f>+Assumptions!$D169/12*Assumptions!$D143</f>
        <v>0</v>
      </c>
      <c r="G81" s="227">
        <f>+Assumptions!$D169/12*Assumptions!$D143</f>
        <v>0</v>
      </c>
      <c r="H81" s="227">
        <f>+Assumptions!$D169/12*Assumptions!$D143</f>
        <v>0</v>
      </c>
      <c r="I81" s="227">
        <f>+Assumptions!$D169/12*Assumptions!$D143</f>
        <v>0</v>
      </c>
      <c r="J81" s="227">
        <f>+Assumptions!$D169/12*Assumptions!$D143</f>
        <v>0</v>
      </c>
      <c r="K81" s="227">
        <f>+Assumptions!$D169/12*Assumptions!$D143</f>
        <v>0</v>
      </c>
      <c r="L81" s="227">
        <f>+Assumptions!$D169/12*Assumptions!$D143</f>
        <v>0</v>
      </c>
      <c r="M81" s="227">
        <f>+Assumptions!$D169/12*Assumptions!$D143</f>
        <v>0</v>
      </c>
      <c r="N81" s="227">
        <f>+Assumptions!$D169/12*Assumptions!$D143</f>
        <v>0</v>
      </c>
      <c r="O81" s="288">
        <f>+Assumptions!$E169/12*Assumptions!$E143</f>
        <v>0</v>
      </c>
      <c r="P81" s="227">
        <f>+Assumptions!$E169/12*Assumptions!$E143</f>
        <v>0</v>
      </c>
      <c r="Q81" s="227">
        <f>+Assumptions!$E169/12*Assumptions!$E143</f>
        <v>0</v>
      </c>
      <c r="R81" s="227">
        <f>+Assumptions!$E169/12*Assumptions!$E143</f>
        <v>0</v>
      </c>
      <c r="S81" s="227">
        <f>+Assumptions!$E169/12*Assumptions!$E143</f>
        <v>0</v>
      </c>
      <c r="T81" s="227">
        <f>+Assumptions!$E169/12*Assumptions!$E143</f>
        <v>0</v>
      </c>
      <c r="U81" s="227">
        <f>+Assumptions!$E169/12*Assumptions!$E143</f>
        <v>0</v>
      </c>
      <c r="V81" s="227">
        <f>+Assumptions!$E169/12*Assumptions!$E143</f>
        <v>0</v>
      </c>
      <c r="W81" s="227">
        <f>+Assumptions!$E169/12*Assumptions!$E143</f>
        <v>0</v>
      </c>
      <c r="X81" s="227">
        <f>+Assumptions!$E169/12*Assumptions!$E143</f>
        <v>0</v>
      </c>
      <c r="Y81" s="227">
        <f>+Assumptions!$E169/12*Assumptions!$E143</f>
        <v>0</v>
      </c>
      <c r="Z81" s="228">
        <f>+Assumptions!$E169/12*Assumptions!$E143</f>
        <v>0</v>
      </c>
      <c r="AA81" s="288">
        <f>+Assumptions!$F169/12*Assumptions!$F143</f>
        <v>0</v>
      </c>
      <c r="AB81" s="227">
        <f>+Assumptions!$F169/12*Assumptions!$F143</f>
        <v>0</v>
      </c>
      <c r="AC81" s="227">
        <f>+Assumptions!$F169/12*Assumptions!$F143</f>
        <v>0</v>
      </c>
      <c r="AD81" s="227">
        <f>+Assumptions!$F169/12*Assumptions!$F143</f>
        <v>0</v>
      </c>
      <c r="AE81" s="227">
        <f>+Assumptions!$F169/12*Assumptions!$F143</f>
        <v>0</v>
      </c>
      <c r="AF81" s="227">
        <f>+Assumptions!$F169/12*Assumptions!$F143</f>
        <v>0</v>
      </c>
      <c r="AG81" s="227">
        <f>+Assumptions!$F169/12*Assumptions!$F143</f>
        <v>0</v>
      </c>
      <c r="AH81" s="227">
        <f>+Assumptions!$F169/12*Assumptions!$F143</f>
        <v>0</v>
      </c>
      <c r="AI81" s="227">
        <f>+Assumptions!$F169/12*Assumptions!$F143</f>
        <v>0</v>
      </c>
      <c r="AJ81" s="227">
        <f>+Assumptions!$F169/12*Assumptions!$F143</f>
        <v>0</v>
      </c>
      <c r="AK81" s="227">
        <f>+Assumptions!$F169/12*Assumptions!$F143</f>
        <v>0</v>
      </c>
      <c r="AL81" s="228">
        <f>+Assumptions!$F169/12*Assumptions!$F143</f>
        <v>0</v>
      </c>
      <c r="AM81" s="288">
        <f>+Assumptions!$G169/12*Assumptions!$G143</f>
        <v>0</v>
      </c>
      <c r="AN81" s="227">
        <f>+Assumptions!$G169/12*Assumptions!$G143</f>
        <v>0</v>
      </c>
      <c r="AO81" s="227">
        <f>+Assumptions!$G169/12*Assumptions!$G143</f>
        <v>0</v>
      </c>
      <c r="AP81" s="227">
        <f>+Assumptions!$G169/12*Assumptions!$G143</f>
        <v>0</v>
      </c>
      <c r="AQ81" s="227">
        <f>+Assumptions!$G169/12*Assumptions!$G143</f>
        <v>0</v>
      </c>
      <c r="AR81" s="227">
        <f>+Assumptions!$G169/12*Assumptions!$G143</f>
        <v>0</v>
      </c>
      <c r="AS81" s="227">
        <f>+Assumptions!$G169/12*Assumptions!$G143</f>
        <v>0</v>
      </c>
      <c r="AT81" s="227">
        <f>+Assumptions!$G169/12*Assumptions!$G143</f>
        <v>0</v>
      </c>
      <c r="AU81" s="227">
        <f>+Assumptions!$G169/12*Assumptions!$G143</f>
        <v>0</v>
      </c>
      <c r="AV81" s="227">
        <f>+Assumptions!$G169/12*Assumptions!$G143</f>
        <v>0</v>
      </c>
      <c r="AW81" s="227">
        <f>+Assumptions!$G169/12*Assumptions!$G143</f>
        <v>0</v>
      </c>
      <c r="AX81" s="228">
        <f>+Assumptions!$G169/12*Assumptions!$G143</f>
        <v>0</v>
      </c>
      <c r="AY81" s="288">
        <f>+Assumptions!$H169/12*Assumptions!$H143</f>
        <v>0</v>
      </c>
      <c r="AZ81" s="227">
        <f>+Assumptions!$H169/12*Assumptions!$H143</f>
        <v>0</v>
      </c>
      <c r="BA81" s="227">
        <f>+Assumptions!$H169/12*Assumptions!$H143</f>
        <v>0</v>
      </c>
      <c r="BB81" s="227">
        <f>+Assumptions!$H169/12*Assumptions!$H143</f>
        <v>0</v>
      </c>
      <c r="BC81" s="227">
        <f>+Assumptions!$H169/12*Assumptions!$H143</f>
        <v>0</v>
      </c>
      <c r="BD81" s="227">
        <f>+Assumptions!$H169/12*Assumptions!$H143</f>
        <v>0</v>
      </c>
      <c r="BE81" s="227">
        <f>+Assumptions!$H169/12*Assumptions!$H143</f>
        <v>0</v>
      </c>
      <c r="BF81" s="227">
        <f>+Assumptions!$H169/12*Assumptions!$H143</f>
        <v>0</v>
      </c>
      <c r="BG81" s="227">
        <f>+Assumptions!$H169/12*Assumptions!$H143</f>
        <v>0</v>
      </c>
      <c r="BH81" s="227">
        <f>+Assumptions!$H169/12*Assumptions!$H143</f>
        <v>0</v>
      </c>
      <c r="BI81" s="227">
        <f>+Assumptions!$H169/12*Assumptions!$H143</f>
        <v>0</v>
      </c>
      <c r="BJ81" s="228">
        <f>+Assumptions!$H169/12*Assumptions!$H143</f>
        <v>0</v>
      </c>
    </row>
    <row r="82" spans="2:62" ht="15.75">
      <c r="B82" s="215">
        <f t="shared" si="75"/>
        <v>0</v>
      </c>
      <c r="C82" s="227">
        <f>+Assumptions!$D170/12*Assumptions!$D144</f>
        <v>0</v>
      </c>
      <c r="D82" s="227">
        <f>+Assumptions!$D170/12*Assumptions!$D144</f>
        <v>0</v>
      </c>
      <c r="E82" s="227">
        <f>+Assumptions!$D170/12*Assumptions!$D144</f>
        <v>0</v>
      </c>
      <c r="F82" s="227">
        <f>+Assumptions!$D170/12*Assumptions!$D144</f>
        <v>0</v>
      </c>
      <c r="G82" s="227">
        <f>+Assumptions!$D170/12*Assumptions!$D144</f>
        <v>0</v>
      </c>
      <c r="H82" s="227">
        <f>+Assumptions!$D170/12*Assumptions!$D144</f>
        <v>0</v>
      </c>
      <c r="I82" s="227">
        <f>+Assumptions!$D170/12*Assumptions!$D144</f>
        <v>0</v>
      </c>
      <c r="J82" s="227">
        <f>+Assumptions!$D170/12*Assumptions!$D144</f>
        <v>0</v>
      </c>
      <c r="K82" s="227">
        <f>+Assumptions!$D170/12*Assumptions!$D144</f>
        <v>0</v>
      </c>
      <c r="L82" s="227">
        <f>+Assumptions!$D170/12*Assumptions!$D144</f>
        <v>0</v>
      </c>
      <c r="M82" s="227">
        <f>+Assumptions!$D170/12*Assumptions!$D144</f>
        <v>0</v>
      </c>
      <c r="N82" s="227">
        <f>+Assumptions!$D170/12*Assumptions!$D144</f>
        <v>0</v>
      </c>
      <c r="O82" s="288">
        <f>+Assumptions!$E170/12*Assumptions!$E144</f>
        <v>0</v>
      </c>
      <c r="P82" s="227">
        <f>+Assumptions!$E170/12*Assumptions!$E144</f>
        <v>0</v>
      </c>
      <c r="Q82" s="227">
        <f>+Assumptions!$E170/12*Assumptions!$E144</f>
        <v>0</v>
      </c>
      <c r="R82" s="227">
        <f>+Assumptions!$E170/12*Assumptions!$E144</f>
        <v>0</v>
      </c>
      <c r="S82" s="227">
        <f>+Assumptions!$E170/12*Assumptions!$E144</f>
        <v>0</v>
      </c>
      <c r="T82" s="227">
        <f>+Assumptions!$E170/12*Assumptions!$E144</f>
        <v>0</v>
      </c>
      <c r="U82" s="227">
        <f>+Assumptions!$E170/12*Assumptions!$E144</f>
        <v>0</v>
      </c>
      <c r="V82" s="227">
        <f>+Assumptions!$E170/12*Assumptions!$E144</f>
        <v>0</v>
      </c>
      <c r="W82" s="227">
        <f>+Assumptions!$E170/12*Assumptions!$E144</f>
        <v>0</v>
      </c>
      <c r="X82" s="227">
        <f>+Assumptions!$E170/12*Assumptions!$E144</f>
        <v>0</v>
      </c>
      <c r="Y82" s="227">
        <f>+Assumptions!$E170/12*Assumptions!$E144</f>
        <v>0</v>
      </c>
      <c r="Z82" s="228">
        <f>+Assumptions!$E170/12*Assumptions!$E144</f>
        <v>0</v>
      </c>
      <c r="AA82" s="288">
        <f>+Assumptions!$F170/12*Assumptions!$F144</f>
        <v>0</v>
      </c>
      <c r="AB82" s="227">
        <f>+Assumptions!$F170/12*Assumptions!$F144</f>
        <v>0</v>
      </c>
      <c r="AC82" s="227">
        <f>+Assumptions!$F170/12*Assumptions!$F144</f>
        <v>0</v>
      </c>
      <c r="AD82" s="227">
        <f>+Assumptions!$F170/12*Assumptions!$F144</f>
        <v>0</v>
      </c>
      <c r="AE82" s="227">
        <f>+Assumptions!$F170/12*Assumptions!$F144</f>
        <v>0</v>
      </c>
      <c r="AF82" s="227">
        <f>+Assumptions!$F170/12*Assumptions!$F144</f>
        <v>0</v>
      </c>
      <c r="AG82" s="227">
        <f>+Assumptions!$F170/12*Assumptions!$F144</f>
        <v>0</v>
      </c>
      <c r="AH82" s="227">
        <f>+Assumptions!$F170/12*Assumptions!$F144</f>
        <v>0</v>
      </c>
      <c r="AI82" s="227">
        <f>+Assumptions!$F170/12*Assumptions!$F144</f>
        <v>0</v>
      </c>
      <c r="AJ82" s="227">
        <f>+Assumptions!$F170/12*Assumptions!$F144</f>
        <v>0</v>
      </c>
      <c r="AK82" s="227">
        <f>+Assumptions!$F170/12*Assumptions!$F144</f>
        <v>0</v>
      </c>
      <c r="AL82" s="228">
        <f>+Assumptions!$F170/12*Assumptions!$F144</f>
        <v>0</v>
      </c>
      <c r="AM82" s="288">
        <f>+Assumptions!$G170/12*Assumptions!$G144</f>
        <v>0</v>
      </c>
      <c r="AN82" s="227">
        <f>+Assumptions!$G170/12*Assumptions!$G144</f>
        <v>0</v>
      </c>
      <c r="AO82" s="227">
        <f>+Assumptions!$G170/12*Assumptions!$G144</f>
        <v>0</v>
      </c>
      <c r="AP82" s="227">
        <f>+Assumptions!$G170/12*Assumptions!$G144</f>
        <v>0</v>
      </c>
      <c r="AQ82" s="227">
        <f>+Assumptions!$G170/12*Assumptions!$G144</f>
        <v>0</v>
      </c>
      <c r="AR82" s="227">
        <f>+Assumptions!$G170/12*Assumptions!$G144</f>
        <v>0</v>
      </c>
      <c r="AS82" s="227">
        <f>+Assumptions!$G170/12*Assumptions!$G144</f>
        <v>0</v>
      </c>
      <c r="AT82" s="227">
        <f>+Assumptions!$G170/12*Assumptions!$G144</f>
        <v>0</v>
      </c>
      <c r="AU82" s="227">
        <f>+Assumptions!$G170/12*Assumptions!$G144</f>
        <v>0</v>
      </c>
      <c r="AV82" s="227">
        <f>+Assumptions!$G170/12*Assumptions!$G144</f>
        <v>0</v>
      </c>
      <c r="AW82" s="227">
        <f>+Assumptions!$G170/12*Assumptions!$G144</f>
        <v>0</v>
      </c>
      <c r="AX82" s="228">
        <f>+Assumptions!$G170/12*Assumptions!$G144</f>
        <v>0</v>
      </c>
      <c r="AY82" s="288">
        <f>+Assumptions!$H170/12*Assumptions!$H144</f>
        <v>0</v>
      </c>
      <c r="AZ82" s="227">
        <f>+Assumptions!$H170/12*Assumptions!$H144</f>
        <v>0</v>
      </c>
      <c r="BA82" s="227">
        <f>+Assumptions!$H170/12*Assumptions!$H144</f>
        <v>0</v>
      </c>
      <c r="BB82" s="227">
        <f>+Assumptions!$H170/12*Assumptions!$H144</f>
        <v>0</v>
      </c>
      <c r="BC82" s="227">
        <f>+Assumptions!$H170/12*Assumptions!$H144</f>
        <v>0</v>
      </c>
      <c r="BD82" s="227">
        <f>+Assumptions!$H170/12*Assumptions!$H144</f>
        <v>0</v>
      </c>
      <c r="BE82" s="227">
        <f>+Assumptions!$H170/12*Assumptions!$H144</f>
        <v>0</v>
      </c>
      <c r="BF82" s="227">
        <f>+Assumptions!$H170/12*Assumptions!$H144</f>
        <v>0</v>
      </c>
      <c r="BG82" s="227">
        <f>+Assumptions!$H170/12*Assumptions!$H144</f>
        <v>0</v>
      </c>
      <c r="BH82" s="227">
        <f>+Assumptions!$H170/12*Assumptions!$H144</f>
        <v>0</v>
      </c>
      <c r="BI82" s="227">
        <f>+Assumptions!$H170/12*Assumptions!$H144</f>
        <v>0</v>
      </c>
      <c r="BJ82" s="228">
        <f>+Assumptions!$H170/12*Assumptions!$H144</f>
        <v>0</v>
      </c>
    </row>
    <row r="83" spans="2:62" ht="15.75">
      <c r="B83" s="215">
        <f t="shared" si="75"/>
        <v>0</v>
      </c>
      <c r="C83" s="227">
        <f>+Assumptions!$D171/12*Assumptions!$D145</f>
        <v>0</v>
      </c>
      <c r="D83" s="227">
        <f>+Assumptions!$D171/12*Assumptions!$D145</f>
        <v>0</v>
      </c>
      <c r="E83" s="227">
        <f>+Assumptions!$D171/12*Assumptions!$D145</f>
        <v>0</v>
      </c>
      <c r="F83" s="227">
        <f>+Assumptions!$D171/12*Assumptions!$D145</f>
        <v>0</v>
      </c>
      <c r="G83" s="227">
        <f>+Assumptions!$D171/12*Assumptions!$D145</f>
        <v>0</v>
      </c>
      <c r="H83" s="227">
        <f>+Assumptions!$D171/12*Assumptions!$D145</f>
        <v>0</v>
      </c>
      <c r="I83" s="227">
        <f>+Assumptions!$D171/12*Assumptions!$D145</f>
        <v>0</v>
      </c>
      <c r="J83" s="227">
        <f>+Assumptions!$D171/12*Assumptions!$D145</f>
        <v>0</v>
      </c>
      <c r="K83" s="227">
        <f>+Assumptions!$D171/12*Assumptions!$D145</f>
        <v>0</v>
      </c>
      <c r="L83" s="227">
        <f>+Assumptions!$D171/12*Assumptions!$D145</f>
        <v>0</v>
      </c>
      <c r="M83" s="227">
        <f>+Assumptions!$D171/12*Assumptions!$D145</f>
        <v>0</v>
      </c>
      <c r="N83" s="227">
        <f>+Assumptions!$D171/12*Assumptions!$D145</f>
        <v>0</v>
      </c>
      <c r="O83" s="288">
        <f>+Assumptions!$E171/12*Assumptions!$E145</f>
        <v>0</v>
      </c>
      <c r="P83" s="227">
        <f>+Assumptions!$E171/12*Assumptions!$E145</f>
        <v>0</v>
      </c>
      <c r="Q83" s="227">
        <f>+Assumptions!$E171/12*Assumptions!$E145</f>
        <v>0</v>
      </c>
      <c r="R83" s="227">
        <f>+Assumptions!$E171/12*Assumptions!$E145</f>
        <v>0</v>
      </c>
      <c r="S83" s="227">
        <f>+Assumptions!$E171/12*Assumptions!$E145</f>
        <v>0</v>
      </c>
      <c r="T83" s="227">
        <f>+Assumptions!$E171/12*Assumptions!$E145</f>
        <v>0</v>
      </c>
      <c r="U83" s="227">
        <f>+Assumptions!$E171/12*Assumptions!$E145</f>
        <v>0</v>
      </c>
      <c r="V83" s="227">
        <f>+Assumptions!$E171/12*Assumptions!$E145</f>
        <v>0</v>
      </c>
      <c r="W83" s="227">
        <f>+Assumptions!$E171/12*Assumptions!$E145</f>
        <v>0</v>
      </c>
      <c r="X83" s="227">
        <f>+Assumptions!$E171/12*Assumptions!$E145</f>
        <v>0</v>
      </c>
      <c r="Y83" s="227">
        <f>+Assumptions!$E171/12*Assumptions!$E145</f>
        <v>0</v>
      </c>
      <c r="Z83" s="228">
        <f>+Assumptions!$E171/12*Assumptions!$E145</f>
        <v>0</v>
      </c>
      <c r="AA83" s="288">
        <f>+Assumptions!$F171/12*Assumptions!$F145</f>
        <v>0</v>
      </c>
      <c r="AB83" s="227">
        <f>+Assumptions!$F171/12*Assumptions!$F145</f>
        <v>0</v>
      </c>
      <c r="AC83" s="227">
        <f>+Assumptions!$F171/12*Assumptions!$F145</f>
        <v>0</v>
      </c>
      <c r="AD83" s="227">
        <f>+Assumptions!$F171/12*Assumptions!$F145</f>
        <v>0</v>
      </c>
      <c r="AE83" s="227">
        <f>+Assumptions!$F171/12*Assumptions!$F145</f>
        <v>0</v>
      </c>
      <c r="AF83" s="227">
        <f>+Assumptions!$F171/12*Assumptions!$F145</f>
        <v>0</v>
      </c>
      <c r="AG83" s="227">
        <f>+Assumptions!$F171/12*Assumptions!$F145</f>
        <v>0</v>
      </c>
      <c r="AH83" s="227">
        <f>+Assumptions!$F171/12*Assumptions!$F145</f>
        <v>0</v>
      </c>
      <c r="AI83" s="227">
        <f>+Assumptions!$F171/12*Assumptions!$F145</f>
        <v>0</v>
      </c>
      <c r="AJ83" s="227">
        <f>+Assumptions!$F171/12*Assumptions!$F145</f>
        <v>0</v>
      </c>
      <c r="AK83" s="227">
        <f>+Assumptions!$F171/12*Assumptions!$F145</f>
        <v>0</v>
      </c>
      <c r="AL83" s="228">
        <f>+Assumptions!$F171/12*Assumptions!$F145</f>
        <v>0</v>
      </c>
      <c r="AM83" s="288">
        <f>+Assumptions!$G171/12*Assumptions!$G145</f>
        <v>0</v>
      </c>
      <c r="AN83" s="227">
        <f>+Assumptions!$G171/12*Assumptions!$G145</f>
        <v>0</v>
      </c>
      <c r="AO83" s="227">
        <f>+Assumptions!$G171/12*Assumptions!$G145</f>
        <v>0</v>
      </c>
      <c r="AP83" s="227">
        <f>+Assumptions!$G171/12*Assumptions!$G145</f>
        <v>0</v>
      </c>
      <c r="AQ83" s="227">
        <f>+Assumptions!$G171/12*Assumptions!$G145</f>
        <v>0</v>
      </c>
      <c r="AR83" s="227">
        <f>+Assumptions!$G171/12*Assumptions!$G145</f>
        <v>0</v>
      </c>
      <c r="AS83" s="227">
        <f>+Assumptions!$G171/12*Assumptions!$G145</f>
        <v>0</v>
      </c>
      <c r="AT83" s="227">
        <f>+Assumptions!$G171/12*Assumptions!$G145</f>
        <v>0</v>
      </c>
      <c r="AU83" s="227">
        <f>+Assumptions!$G171/12*Assumptions!$G145</f>
        <v>0</v>
      </c>
      <c r="AV83" s="227">
        <f>+Assumptions!$G171/12*Assumptions!$G145</f>
        <v>0</v>
      </c>
      <c r="AW83" s="227">
        <f>+Assumptions!$G171/12*Assumptions!$G145</f>
        <v>0</v>
      </c>
      <c r="AX83" s="228">
        <f>+Assumptions!$G171/12*Assumptions!$G145</f>
        <v>0</v>
      </c>
      <c r="AY83" s="288">
        <f>+Assumptions!$H171/12*Assumptions!$H145</f>
        <v>0</v>
      </c>
      <c r="AZ83" s="227">
        <f>+Assumptions!$H171/12*Assumptions!$H145</f>
        <v>0</v>
      </c>
      <c r="BA83" s="227">
        <f>+Assumptions!$H171/12*Assumptions!$H145</f>
        <v>0</v>
      </c>
      <c r="BB83" s="227">
        <f>+Assumptions!$H171/12*Assumptions!$H145</f>
        <v>0</v>
      </c>
      <c r="BC83" s="227">
        <f>+Assumptions!$H171/12*Assumptions!$H145</f>
        <v>0</v>
      </c>
      <c r="BD83" s="227">
        <f>+Assumptions!$H171/12*Assumptions!$H145</f>
        <v>0</v>
      </c>
      <c r="BE83" s="227">
        <f>+Assumptions!$H171/12*Assumptions!$H145</f>
        <v>0</v>
      </c>
      <c r="BF83" s="227">
        <f>+Assumptions!$H171/12*Assumptions!$H145</f>
        <v>0</v>
      </c>
      <c r="BG83" s="227">
        <f>+Assumptions!$H171/12*Assumptions!$H145</f>
        <v>0</v>
      </c>
      <c r="BH83" s="227">
        <f>+Assumptions!$H171/12*Assumptions!$H145</f>
        <v>0</v>
      </c>
      <c r="BI83" s="227">
        <f>+Assumptions!$H171/12*Assumptions!$H145</f>
        <v>0</v>
      </c>
      <c r="BJ83" s="228">
        <f>+Assumptions!$H171/12*Assumptions!$H145</f>
        <v>0</v>
      </c>
    </row>
    <row r="84" spans="2:62" ht="15.75">
      <c r="B84" s="235">
        <f t="shared" si="75"/>
        <v>0</v>
      </c>
      <c r="C84" s="227">
        <f>+Assumptions!$D172/12*Assumptions!$D146</f>
        <v>0</v>
      </c>
      <c r="D84" s="227">
        <f>+Assumptions!$D172/12*Assumptions!$D146</f>
        <v>0</v>
      </c>
      <c r="E84" s="227">
        <f>+Assumptions!$D172/12*Assumptions!$D146</f>
        <v>0</v>
      </c>
      <c r="F84" s="227">
        <f>+Assumptions!$D172/12*Assumptions!$D146</f>
        <v>0</v>
      </c>
      <c r="G84" s="227">
        <f>+Assumptions!$D172/12*Assumptions!$D146</f>
        <v>0</v>
      </c>
      <c r="H84" s="227">
        <f>+Assumptions!$D172/12*Assumptions!$D146</f>
        <v>0</v>
      </c>
      <c r="I84" s="227">
        <f>+Assumptions!$D172/12*Assumptions!$D146</f>
        <v>0</v>
      </c>
      <c r="J84" s="227">
        <f>+Assumptions!$D172/12*Assumptions!$D146</f>
        <v>0</v>
      </c>
      <c r="K84" s="227">
        <f>+Assumptions!$D172/12*Assumptions!$D146</f>
        <v>0</v>
      </c>
      <c r="L84" s="227">
        <f>+Assumptions!$D172/12*Assumptions!$D146</f>
        <v>0</v>
      </c>
      <c r="M84" s="227">
        <f>+Assumptions!$D172/12*Assumptions!$D146</f>
        <v>0</v>
      </c>
      <c r="N84" s="227">
        <f>+Assumptions!$D172/12*Assumptions!$D146</f>
        <v>0</v>
      </c>
      <c r="O84" s="288">
        <f>+Assumptions!$E172/12*Assumptions!$E146</f>
        <v>0</v>
      </c>
      <c r="P84" s="227">
        <f>+Assumptions!$E172/12*Assumptions!$E146</f>
        <v>0</v>
      </c>
      <c r="Q84" s="227">
        <f>+Assumptions!$E172/12*Assumptions!$E146</f>
        <v>0</v>
      </c>
      <c r="R84" s="227">
        <f>+Assumptions!$E172/12*Assumptions!$E146</f>
        <v>0</v>
      </c>
      <c r="S84" s="227">
        <f>+Assumptions!$E172/12*Assumptions!$E146</f>
        <v>0</v>
      </c>
      <c r="T84" s="227">
        <f>+Assumptions!$E172/12*Assumptions!$E146</f>
        <v>0</v>
      </c>
      <c r="U84" s="227">
        <f>+Assumptions!$E172/12*Assumptions!$E146</f>
        <v>0</v>
      </c>
      <c r="V84" s="227">
        <f>+Assumptions!$E172/12*Assumptions!$E146</f>
        <v>0</v>
      </c>
      <c r="W84" s="227">
        <f>+Assumptions!$E172/12*Assumptions!$E146</f>
        <v>0</v>
      </c>
      <c r="X84" s="227">
        <f>+Assumptions!$E172/12*Assumptions!$E146</f>
        <v>0</v>
      </c>
      <c r="Y84" s="227">
        <f>+Assumptions!$E172/12*Assumptions!$E146</f>
        <v>0</v>
      </c>
      <c r="Z84" s="228">
        <f>+Assumptions!$E172/12*Assumptions!$E146</f>
        <v>0</v>
      </c>
      <c r="AA84" s="288">
        <f>+Assumptions!$F172/12*Assumptions!$F146</f>
        <v>0</v>
      </c>
      <c r="AB84" s="227">
        <f>+Assumptions!$F172/12*Assumptions!$F146</f>
        <v>0</v>
      </c>
      <c r="AC84" s="227">
        <f>+Assumptions!$F172/12*Assumptions!$F146</f>
        <v>0</v>
      </c>
      <c r="AD84" s="227">
        <f>+Assumptions!$F172/12*Assumptions!$F146</f>
        <v>0</v>
      </c>
      <c r="AE84" s="227">
        <f>+Assumptions!$F172/12*Assumptions!$F146</f>
        <v>0</v>
      </c>
      <c r="AF84" s="227">
        <f>+Assumptions!$F172/12*Assumptions!$F146</f>
        <v>0</v>
      </c>
      <c r="AG84" s="227">
        <f>+Assumptions!$F172/12*Assumptions!$F146</f>
        <v>0</v>
      </c>
      <c r="AH84" s="227">
        <f>+Assumptions!$F172/12*Assumptions!$F146</f>
        <v>0</v>
      </c>
      <c r="AI84" s="227">
        <f>+Assumptions!$F172/12*Assumptions!$F146</f>
        <v>0</v>
      </c>
      <c r="AJ84" s="227">
        <f>+Assumptions!$F172/12*Assumptions!$F146</f>
        <v>0</v>
      </c>
      <c r="AK84" s="227">
        <f>+Assumptions!$F172/12*Assumptions!$F146</f>
        <v>0</v>
      </c>
      <c r="AL84" s="228">
        <f>+Assumptions!$F172/12*Assumptions!$F146</f>
        <v>0</v>
      </c>
      <c r="AM84" s="288">
        <f>+Assumptions!$G172/12*Assumptions!$G146</f>
        <v>0</v>
      </c>
      <c r="AN84" s="227">
        <f>+Assumptions!$G172/12*Assumptions!$G146</f>
        <v>0</v>
      </c>
      <c r="AO84" s="227">
        <f>+Assumptions!$G172/12*Assumptions!$G146</f>
        <v>0</v>
      </c>
      <c r="AP84" s="227">
        <f>+Assumptions!$G172/12*Assumptions!$G146</f>
        <v>0</v>
      </c>
      <c r="AQ84" s="227">
        <f>+Assumptions!$G172/12*Assumptions!$G146</f>
        <v>0</v>
      </c>
      <c r="AR84" s="227">
        <f>+Assumptions!$G172/12*Assumptions!$G146</f>
        <v>0</v>
      </c>
      <c r="AS84" s="227">
        <f>+Assumptions!$G172/12*Assumptions!$G146</f>
        <v>0</v>
      </c>
      <c r="AT84" s="227">
        <f>+Assumptions!$G172/12*Assumptions!$G146</f>
        <v>0</v>
      </c>
      <c r="AU84" s="227">
        <f>+Assumptions!$G172/12*Assumptions!$G146</f>
        <v>0</v>
      </c>
      <c r="AV84" s="227">
        <f>+Assumptions!$G172/12*Assumptions!$G146</f>
        <v>0</v>
      </c>
      <c r="AW84" s="227">
        <f>+Assumptions!$G172/12*Assumptions!$G146</f>
        <v>0</v>
      </c>
      <c r="AX84" s="228">
        <f>+Assumptions!$G172/12*Assumptions!$G146</f>
        <v>0</v>
      </c>
      <c r="AY84" s="288">
        <f>+Assumptions!$H172/12*Assumptions!$H146</f>
        <v>0</v>
      </c>
      <c r="AZ84" s="227">
        <f>+Assumptions!$H172/12*Assumptions!$H146</f>
        <v>0</v>
      </c>
      <c r="BA84" s="227">
        <f>+Assumptions!$H172/12*Assumptions!$H146</f>
        <v>0</v>
      </c>
      <c r="BB84" s="227">
        <f>+Assumptions!$H172/12*Assumptions!$H146</f>
        <v>0</v>
      </c>
      <c r="BC84" s="227">
        <f>+Assumptions!$H172/12*Assumptions!$H146</f>
        <v>0</v>
      </c>
      <c r="BD84" s="227">
        <f>+Assumptions!$H172/12*Assumptions!$H146</f>
        <v>0</v>
      </c>
      <c r="BE84" s="227">
        <f>+Assumptions!$H172/12*Assumptions!$H146</f>
        <v>0</v>
      </c>
      <c r="BF84" s="227">
        <f>+Assumptions!$H172/12*Assumptions!$H146</f>
        <v>0</v>
      </c>
      <c r="BG84" s="227">
        <f>+Assumptions!$H172/12*Assumptions!$H146</f>
        <v>0</v>
      </c>
      <c r="BH84" s="227">
        <f>+Assumptions!$H172/12*Assumptions!$H146</f>
        <v>0</v>
      </c>
      <c r="BI84" s="227">
        <f>+Assumptions!$H172/12*Assumptions!$H146</f>
        <v>0</v>
      </c>
      <c r="BJ84" s="228">
        <f>+Assumptions!$H172/12*Assumptions!$H146</f>
        <v>0</v>
      </c>
    </row>
    <row r="85" spans="2:62" ht="15.75">
      <c r="B85" s="235">
        <f t="shared" si="75"/>
        <v>0</v>
      </c>
      <c r="C85" s="227">
        <f>+Assumptions!$D173/12*Assumptions!$D147</f>
        <v>0</v>
      </c>
      <c r="D85" s="227">
        <f>+Assumptions!$D173/12*Assumptions!$D147</f>
        <v>0</v>
      </c>
      <c r="E85" s="227">
        <f>+Assumptions!$D173/12*Assumptions!$D147</f>
        <v>0</v>
      </c>
      <c r="F85" s="227">
        <f>+Assumptions!$D173/12*Assumptions!$D147</f>
        <v>0</v>
      </c>
      <c r="G85" s="227">
        <f>+Assumptions!$D173/12*Assumptions!$D147</f>
        <v>0</v>
      </c>
      <c r="H85" s="227">
        <f>+Assumptions!$D173/12*Assumptions!$D147</f>
        <v>0</v>
      </c>
      <c r="I85" s="227">
        <f>+Assumptions!$D173/12*Assumptions!$D147</f>
        <v>0</v>
      </c>
      <c r="J85" s="227">
        <f>+Assumptions!$D173/12*Assumptions!$D147</f>
        <v>0</v>
      </c>
      <c r="K85" s="227">
        <f>+Assumptions!$D173/12*Assumptions!$D147</f>
        <v>0</v>
      </c>
      <c r="L85" s="227">
        <f>+Assumptions!$D173/12*Assumptions!$D147</f>
        <v>0</v>
      </c>
      <c r="M85" s="227">
        <f>+Assumptions!$D173/12*Assumptions!$D147</f>
        <v>0</v>
      </c>
      <c r="N85" s="227">
        <f>+Assumptions!$D173/12*Assumptions!$D147</f>
        <v>0</v>
      </c>
      <c r="O85" s="288">
        <f>+Assumptions!$E173/12*Assumptions!$E147</f>
        <v>0</v>
      </c>
      <c r="P85" s="227">
        <f>+Assumptions!$E173/12*Assumptions!$E147</f>
        <v>0</v>
      </c>
      <c r="Q85" s="227">
        <f>+Assumptions!$E173/12*Assumptions!$E147</f>
        <v>0</v>
      </c>
      <c r="R85" s="227">
        <f>+Assumptions!$E173/12*Assumptions!$E147</f>
        <v>0</v>
      </c>
      <c r="S85" s="227">
        <f>+Assumptions!$E173/12*Assumptions!$E147</f>
        <v>0</v>
      </c>
      <c r="T85" s="227">
        <f>+Assumptions!$E173/12*Assumptions!$E147</f>
        <v>0</v>
      </c>
      <c r="U85" s="227">
        <f>+Assumptions!$E173/12*Assumptions!$E147</f>
        <v>0</v>
      </c>
      <c r="V85" s="227">
        <f>+Assumptions!$E173/12*Assumptions!$E147</f>
        <v>0</v>
      </c>
      <c r="W85" s="227">
        <f>+Assumptions!$E173/12*Assumptions!$E147</f>
        <v>0</v>
      </c>
      <c r="X85" s="227">
        <f>+Assumptions!$E173/12*Assumptions!$E147</f>
        <v>0</v>
      </c>
      <c r="Y85" s="227">
        <f>+Assumptions!$E173/12*Assumptions!$E147</f>
        <v>0</v>
      </c>
      <c r="Z85" s="228">
        <f>+Assumptions!$E173/12*Assumptions!$E147</f>
        <v>0</v>
      </c>
      <c r="AA85" s="288">
        <f>+Assumptions!$F173/12*Assumptions!$F147</f>
        <v>0</v>
      </c>
      <c r="AB85" s="227">
        <f>+Assumptions!$F173/12*Assumptions!$F147</f>
        <v>0</v>
      </c>
      <c r="AC85" s="227">
        <f>+Assumptions!$F173/12*Assumptions!$F147</f>
        <v>0</v>
      </c>
      <c r="AD85" s="227">
        <f>+Assumptions!$F173/12*Assumptions!$F147</f>
        <v>0</v>
      </c>
      <c r="AE85" s="227">
        <f>+Assumptions!$F173/12*Assumptions!$F147</f>
        <v>0</v>
      </c>
      <c r="AF85" s="227">
        <f>+Assumptions!$F173/12*Assumptions!$F147</f>
        <v>0</v>
      </c>
      <c r="AG85" s="227">
        <f>+Assumptions!$F173/12*Assumptions!$F147</f>
        <v>0</v>
      </c>
      <c r="AH85" s="227">
        <f>+Assumptions!$F173/12*Assumptions!$F147</f>
        <v>0</v>
      </c>
      <c r="AI85" s="227">
        <f>+Assumptions!$F173/12*Assumptions!$F147</f>
        <v>0</v>
      </c>
      <c r="AJ85" s="227">
        <f>+Assumptions!$F173/12*Assumptions!$F147</f>
        <v>0</v>
      </c>
      <c r="AK85" s="227">
        <f>+Assumptions!$F173/12*Assumptions!$F147</f>
        <v>0</v>
      </c>
      <c r="AL85" s="228">
        <f>+Assumptions!$F173/12*Assumptions!$F147</f>
        <v>0</v>
      </c>
      <c r="AM85" s="288">
        <f>+Assumptions!$G173/12*Assumptions!$G147</f>
        <v>0</v>
      </c>
      <c r="AN85" s="227">
        <f>+Assumptions!$G173/12*Assumptions!$G147</f>
        <v>0</v>
      </c>
      <c r="AO85" s="227">
        <f>+Assumptions!$G173/12*Assumptions!$G147</f>
        <v>0</v>
      </c>
      <c r="AP85" s="227">
        <f>+Assumptions!$G173/12*Assumptions!$G147</f>
        <v>0</v>
      </c>
      <c r="AQ85" s="227">
        <f>+Assumptions!$G173/12*Assumptions!$G147</f>
        <v>0</v>
      </c>
      <c r="AR85" s="227">
        <f>+Assumptions!$G173/12*Assumptions!$G147</f>
        <v>0</v>
      </c>
      <c r="AS85" s="227">
        <f>+Assumptions!$G173/12*Assumptions!$G147</f>
        <v>0</v>
      </c>
      <c r="AT85" s="227">
        <f>+Assumptions!$G173/12*Assumptions!$G147</f>
        <v>0</v>
      </c>
      <c r="AU85" s="227">
        <f>+Assumptions!$G173/12*Assumptions!$G147</f>
        <v>0</v>
      </c>
      <c r="AV85" s="227">
        <f>+Assumptions!$G173/12*Assumptions!$G147</f>
        <v>0</v>
      </c>
      <c r="AW85" s="227">
        <f>+Assumptions!$G173/12*Assumptions!$G147</f>
        <v>0</v>
      </c>
      <c r="AX85" s="228">
        <f>+Assumptions!$G173/12*Assumptions!$G147</f>
        <v>0</v>
      </c>
      <c r="AY85" s="288">
        <f>+Assumptions!$H173/12*Assumptions!$H147</f>
        <v>0</v>
      </c>
      <c r="AZ85" s="227">
        <f>+Assumptions!$H173/12*Assumptions!$H147</f>
        <v>0</v>
      </c>
      <c r="BA85" s="227">
        <f>+Assumptions!$H173/12*Assumptions!$H147</f>
        <v>0</v>
      </c>
      <c r="BB85" s="227">
        <f>+Assumptions!$H173/12*Assumptions!$H147</f>
        <v>0</v>
      </c>
      <c r="BC85" s="227">
        <f>+Assumptions!$H173/12*Assumptions!$H147</f>
        <v>0</v>
      </c>
      <c r="BD85" s="227">
        <f>+Assumptions!$H173/12*Assumptions!$H147</f>
        <v>0</v>
      </c>
      <c r="BE85" s="227">
        <f>+Assumptions!$H173/12*Assumptions!$H147</f>
        <v>0</v>
      </c>
      <c r="BF85" s="227">
        <f>+Assumptions!$H173/12*Assumptions!$H147</f>
        <v>0</v>
      </c>
      <c r="BG85" s="227">
        <f>+Assumptions!$H173/12*Assumptions!$H147</f>
        <v>0</v>
      </c>
      <c r="BH85" s="227">
        <f>+Assumptions!$H173/12*Assumptions!$H147</f>
        <v>0</v>
      </c>
      <c r="BI85" s="227">
        <f>+Assumptions!$H173/12*Assumptions!$H147</f>
        <v>0</v>
      </c>
      <c r="BJ85" s="228">
        <f>+Assumptions!$H173/12*Assumptions!$H147</f>
        <v>0</v>
      </c>
    </row>
    <row r="86" spans="2:62" ht="15.75">
      <c r="B86" s="235">
        <f t="shared" si="75"/>
        <v>0</v>
      </c>
      <c r="C86" s="227">
        <f>+Assumptions!$D174/12*Assumptions!$D148</f>
        <v>0</v>
      </c>
      <c r="D86" s="227">
        <f>+Assumptions!$D174/12*Assumptions!$D148</f>
        <v>0</v>
      </c>
      <c r="E86" s="227">
        <f>+Assumptions!$D174/12*Assumptions!$D148</f>
        <v>0</v>
      </c>
      <c r="F86" s="227">
        <f>+Assumptions!$D174/12*Assumptions!$D148</f>
        <v>0</v>
      </c>
      <c r="G86" s="227">
        <f>+Assumptions!$D174/12*Assumptions!$D148</f>
        <v>0</v>
      </c>
      <c r="H86" s="227">
        <f>+Assumptions!$D174/12*Assumptions!$D148</f>
        <v>0</v>
      </c>
      <c r="I86" s="227">
        <f>+Assumptions!$D174/12*Assumptions!$D148</f>
        <v>0</v>
      </c>
      <c r="J86" s="227">
        <f>+Assumptions!$D174/12*Assumptions!$D148</f>
        <v>0</v>
      </c>
      <c r="K86" s="227">
        <f>+Assumptions!$D174/12*Assumptions!$D148</f>
        <v>0</v>
      </c>
      <c r="L86" s="227">
        <f>+Assumptions!$D174/12*Assumptions!$D148</f>
        <v>0</v>
      </c>
      <c r="M86" s="227">
        <f>+Assumptions!$D174/12*Assumptions!$D148</f>
        <v>0</v>
      </c>
      <c r="N86" s="227">
        <f>+Assumptions!$D174/12*Assumptions!$D148</f>
        <v>0</v>
      </c>
      <c r="O86" s="288">
        <f>+Assumptions!$E174/12*Assumptions!$E148</f>
        <v>0</v>
      </c>
      <c r="P86" s="227">
        <f>+Assumptions!$E174/12*Assumptions!$E148</f>
        <v>0</v>
      </c>
      <c r="Q86" s="227">
        <f>+Assumptions!$E174/12*Assumptions!$E148</f>
        <v>0</v>
      </c>
      <c r="R86" s="227">
        <f>+Assumptions!$E174/12*Assumptions!$E148</f>
        <v>0</v>
      </c>
      <c r="S86" s="227">
        <f>+Assumptions!$E174/12*Assumptions!$E148</f>
        <v>0</v>
      </c>
      <c r="T86" s="227">
        <f>+Assumptions!$E174/12*Assumptions!$E148</f>
        <v>0</v>
      </c>
      <c r="U86" s="227">
        <f>+Assumptions!$E174/12*Assumptions!$E148</f>
        <v>0</v>
      </c>
      <c r="V86" s="227">
        <f>+Assumptions!$E174/12*Assumptions!$E148</f>
        <v>0</v>
      </c>
      <c r="W86" s="227">
        <f>+Assumptions!$E174/12*Assumptions!$E148</f>
        <v>0</v>
      </c>
      <c r="X86" s="227">
        <f>+Assumptions!$E174/12*Assumptions!$E148</f>
        <v>0</v>
      </c>
      <c r="Y86" s="227">
        <f>+Assumptions!$E174/12*Assumptions!$E148</f>
        <v>0</v>
      </c>
      <c r="Z86" s="228">
        <f>+Assumptions!$E174/12*Assumptions!$E148</f>
        <v>0</v>
      </c>
      <c r="AA86" s="288">
        <f>+Assumptions!$F174/12*Assumptions!$F148</f>
        <v>0</v>
      </c>
      <c r="AB86" s="227">
        <f>+Assumptions!$F174/12*Assumptions!$F148</f>
        <v>0</v>
      </c>
      <c r="AC86" s="227">
        <f>+Assumptions!$F174/12*Assumptions!$F148</f>
        <v>0</v>
      </c>
      <c r="AD86" s="227">
        <f>+Assumptions!$F174/12*Assumptions!$F148</f>
        <v>0</v>
      </c>
      <c r="AE86" s="227">
        <f>+Assumptions!$F174/12*Assumptions!$F148</f>
        <v>0</v>
      </c>
      <c r="AF86" s="227">
        <f>+Assumptions!$F174/12*Assumptions!$F148</f>
        <v>0</v>
      </c>
      <c r="AG86" s="227">
        <f>+Assumptions!$F174/12*Assumptions!$F148</f>
        <v>0</v>
      </c>
      <c r="AH86" s="227">
        <f>+Assumptions!$F174/12*Assumptions!$F148</f>
        <v>0</v>
      </c>
      <c r="AI86" s="227">
        <f>+Assumptions!$F174/12*Assumptions!$F148</f>
        <v>0</v>
      </c>
      <c r="AJ86" s="227">
        <f>+Assumptions!$F174/12*Assumptions!$F148</f>
        <v>0</v>
      </c>
      <c r="AK86" s="227">
        <f>+Assumptions!$F174/12*Assumptions!$F148</f>
        <v>0</v>
      </c>
      <c r="AL86" s="228">
        <f>+Assumptions!$F174/12*Assumptions!$F148</f>
        <v>0</v>
      </c>
      <c r="AM86" s="288">
        <f>+Assumptions!$G174/12*Assumptions!$G148</f>
        <v>0</v>
      </c>
      <c r="AN86" s="227">
        <f>+Assumptions!$G174/12*Assumptions!$G148</f>
        <v>0</v>
      </c>
      <c r="AO86" s="227">
        <f>+Assumptions!$G174/12*Assumptions!$G148</f>
        <v>0</v>
      </c>
      <c r="AP86" s="227">
        <f>+Assumptions!$G174/12*Assumptions!$G148</f>
        <v>0</v>
      </c>
      <c r="AQ86" s="227">
        <f>+Assumptions!$G174/12*Assumptions!$G148</f>
        <v>0</v>
      </c>
      <c r="AR86" s="227">
        <f>+Assumptions!$G174/12*Assumptions!$G148</f>
        <v>0</v>
      </c>
      <c r="AS86" s="227">
        <f>+Assumptions!$G174/12*Assumptions!$G148</f>
        <v>0</v>
      </c>
      <c r="AT86" s="227">
        <f>+Assumptions!$G174/12*Assumptions!$G148</f>
        <v>0</v>
      </c>
      <c r="AU86" s="227">
        <f>+Assumptions!$G174/12*Assumptions!$G148</f>
        <v>0</v>
      </c>
      <c r="AV86" s="227">
        <f>+Assumptions!$G174/12*Assumptions!$G148</f>
        <v>0</v>
      </c>
      <c r="AW86" s="227">
        <f>+Assumptions!$G174/12*Assumptions!$G148</f>
        <v>0</v>
      </c>
      <c r="AX86" s="228">
        <f>+Assumptions!$G174/12*Assumptions!$G148</f>
        <v>0</v>
      </c>
      <c r="AY86" s="288">
        <f>+Assumptions!$H174/12*Assumptions!$H148</f>
        <v>0</v>
      </c>
      <c r="AZ86" s="227">
        <f>+Assumptions!$H174/12*Assumptions!$H148</f>
        <v>0</v>
      </c>
      <c r="BA86" s="227">
        <f>+Assumptions!$H174/12*Assumptions!$H148</f>
        <v>0</v>
      </c>
      <c r="BB86" s="227">
        <f>+Assumptions!$H174/12*Assumptions!$H148</f>
        <v>0</v>
      </c>
      <c r="BC86" s="227">
        <f>+Assumptions!$H174/12*Assumptions!$H148</f>
        <v>0</v>
      </c>
      <c r="BD86" s="227">
        <f>+Assumptions!$H174/12*Assumptions!$H148</f>
        <v>0</v>
      </c>
      <c r="BE86" s="227">
        <f>+Assumptions!$H174/12*Assumptions!$H148</f>
        <v>0</v>
      </c>
      <c r="BF86" s="227">
        <f>+Assumptions!$H174/12*Assumptions!$H148</f>
        <v>0</v>
      </c>
      <c r="BG86" s="227">
        <f>+Assumptions!$H174/12*Assumptions!$H148</f>
        <v>0</v>
      </c>
      <c r="BH86" s="227">
        <f>+Assumptions!$H174/12*Assumptions!$H148</f>
        <v>0</v>
      </c>
      <c r="BI86" s="227">
        <f>+Assumptions!$H174/12*Assumptions!$H148</f>
        <v>0</v>
      </c>
      <c r="BJ86" s="228">
        <f>+Assumptions!$H174/12*Assumptions!$H148</f>
        <v>0</v>
      </c>
    </row>
    <row r="87" spans="2:62" ht="15.75">
      <c r="B87" s="235">
        <f t="shared" si="75"/>
        <v>0</v>
      </c>
      <c r="C87" s="227">
        <f>+Assumptions!$D175/12*Assumptions!$D149</f>
        <v>0</v>
      </c>
      <c r="D87" s="227">
        <f>+Assumptions!$D175/12*Assumptions!$D149</f>
        <v>0</v>
      </c>
      <c r="E87" s="227">
        <f>+Assumptions!$D175/12*Assumptions!$D149</f>
        <v>0</v>
      </c>
      <c r="F87" s="227">
        <f>+Assumptions!$D175/12*Assumptions!$D149</f>
        <v>0</v>
      </c>
      <c r="G87" s="227">
        <f>+Assumptions!$D175/12*Assumptions!$D149</f>
        <v>0</v>
      </c>
      <c r="H87" s="227">
        <f>+Assumptions!$D175/12*Assumptions!$D149</f>
        <v>0</v>
      </c>
      <c r="I87" s="227">
        <f>+Assumptions!$D175/12*Assumptions!$D149</f>
        <v>0</v>
      </c>
      <c r="J87" s="227">
        <f>+Assumptions!$D175/12*Assumptions!$D149</f>
        <v>0</v>
      </c>
      <c r="K87" s="227">
        <f>+Assumptions!$D175/12*Assumptions!$D149</f>
        <v>0</v>
      </c>
      <c r="L87" s="227">
        <f>+Assumptions!$D175/12*Assumptions!$D149</f>
        <v>0</v>
      </c>
      <c r="M87" s="227">
        <f>+Assumptions!$D175/12*Assumptions!$D149</f>
        <v>0</v>
      </c>
      <c r="N87" s="227">
        <f>+Assumptions!$D175/12*Assumptions!$D149</f>
        <v>0</v>
      </c>
      <c r="O87" s="288">
        <f>+Assumptions!$E175/12*Assumptions!$E149</f>
        <v>0</v>
      </c>
      <c r="P87" s="227">
        <f>+Assumptions!$E175/12*Assumptions!$E149</f>
        <v>0</v>
      </c>
      <c r="Q87" s="227">
        <f>+Assumptions!$E175/12*Assumptions!$E149</f>
        <v>0</v>
      </c>
      <c r="R87" s="227">
        <f>+Assumptions!$E175/12*Assumptions!$E149</f>
        <v>0</v>
      </c>
      <c r="S87" s="227">
        <f>+Assumptions!$E175/12*Assumptions!$E149</f>
        <v>0</v>
      </c>
      <c r="T87" s="227">
        <f>+Assumptions!$E175/12*Assumptions!$E149</f>
        <v>0</v>
      </c>
      <c r="U87" s="227">
        <f>+Assumptions!$E175/12*Assumptions!$E149</f>
        <v>0</v>
      </c>
      <c r="V87" s="227">
        <f>+Assumptions!$E175/12*Assumptions!$E149</f>
        <v>0</v>
      </c>
      <c r="W87" s="227">
        <f>+Assumptions!$E175/12*Assumptions!$E149</f>
        <v>0</v>
      </c>
      <c r="X87" s="227">
        <f>+Assumptions!$E175/12*Assumptions!$E149</f>
        <v>0</v>
      </c>
      <c r="Y87" s="227">
        <f>+Assumptions!$E175/12*Assumptions!$E149</f>
        <v>0</v>
      </c>
      <c r="Z87" s="228">
        <f>+Assumptions!$E175/12*Assumptions!$E149</f>
        <v>0</v>
      </c>
      <c r="AA87" s="288">
        <f>+Assumptions!$F175/12*Assumptions!$F149</f>
        <v>0</v>
      </c>
      <c r="AB87" s="227">
        <f>+Assumptions!$F175/12*Assumptions!$F149</f>
        <v>0</v>
      </c>
      <c r="AC87" s="227">
        <f>+Assumptions!$F175/12*Assumptions!$F149</f>
        <v>0</v>
      </c>
      <c r="AD87" s="227">
        <f>+Assumptions!$F175/12*Assumptions!$F149</f>
        <v>0</v>
      </c>
      <c r="AE87" s="227">
        <f>+Assumptions!$F175/12*Assumptions!$F149</f>
        <v>0</v>
      </c>
      <c r="AF87" s="227">
        <f>+Assumptions!$F175/12*Assumptions!$F149</f>
        <v>0</v>
      </c>
      <c r="AG87" s="227">
        <f>+Assumptions!$F175/12*Assumptions!$F149</f>
        <v>0</v>
      </c>
      <c r="AH87" s="227">
        <f>+Assumptions!$F175/12*Assumptions!$F149</f>
        <v>0</v>
      </c>
      <c r="AI87" s="227">
        <f>+Assumptions!$F175/12*Assumptions!$F149</f>
        <v>0</v>
      </c>
      <c r="AJ87" s="227">
        <f>+Assumptions!$F175/12*Assumptions!$F149</f>
        <v>0</v>
      </c>
      <c r="AK87" s="227">
        <f>+Assumptions!$F175/12*Assumptions!$F149</f>
        <v>0</v>
      </c>
      <c r="AL87" s="228">
        <f>+Assumptions!$F175/12*Assumptions!$F149</f>
        <v>0</v>
      </c>
      <c r="AM87" s="288">
        <f>+Assumptions!$G175/12*Assumptions!$G149</f>
        <v>0</v>
      </c>
      <c r="AN87" s="227">
        <f>+Assumptions!$G175/12*Assumptions!$G149</f>
        <v>0</v>
      </c>
      <c r="AO87" s="227">
        <f>+Assumptions!$G175/12*Assumptions!$G149</f>
        <v>0</v>
      </c>
      <c r="AP87" s="227">
        <f>+Assumptions!$G175/12*Assumptions!$G149</f>
        <v>0</v>
      </c>
      <c r="AQ87" s="227">
        <f>+Assumptions!$G175/12*Assumptions!$G149</f>
        <v>0</v>
      </c>
      <c r="AR87" s="227">
        <f>+Assumptions!$G175/12*Assumptions!$G149</f>
        <v>0</v>
      </c>
      <c r="AS87" s="227">
        <f>+Assumptions!$G175/12*Assumptions!$G149</f>
        <v>0</v>
      </c>
      <c r="AT87" s="227">
        <f>+Assumptions!$G175/12*Assumptions!$G149</f>
        <v>0</v>
      </c>
      <c r="AU87" s="227">
        <f>+Assumptions!$G175/12*Assumptions!$G149</f>
        <v>0</v>
      </c>
      <c r="AV87" s="227">
        <f>+Assumptions!$G175/12*Assumptions!$G149</f>
        <v>0</v>
      </c>
      <c r="AW87" s="227">
        <f>+Assumptions!$G175/12*Assumptions!$G149</f>
        <v>0</v>
      </c>
      <c r="AX87" s="228">
        <f>+Assumptions!$G175/12*Assumptions!$G149</f>
        <v>0</v>
      </c>
      <c r="AY87" s="288">
        <f>+Assumptions!$H175/12*Assumptions!$H149</f>
        <v>0</v>
      </c>
      <c r="AZ87" s="227">
        <f>+Assumptions!$H175/12*Assumptions!$H149</f>
        <v>0</v>
      </c>
      <c r="BA87" s="227">
        <f>+Assumptions!$H175/12*Assumptions!$H149</f>
        <v>0</v>
      </c>
      <c r="BB87" s="227">
        <f>+Assumptions!$H175/12*Assumptions!$H149</f>
        <v>0</v>
      </c>
      <c r="BC87" s="227">
        <f>+Assumptions!$H175/12*Assumptions!$H149</f>
        <v>0</v>
      </c>
      <c r="BD87" s="227">
        <f>+Assumptions!$H175/12*Assumptions!$H149</f>
        <v>0</v>
      </c>
      <c r="BE87" s="227">
        <f>+Assumptions!$H175/12*Assumptions!$H149</f>
        <v>0</v>
      </c>
      <c r="BF87" s="227">
        <f>+Assumptions!$H175/12*Assumptions!$H149</f>
        <v>0</v>
      </c>
      <c r="BG87" s="227">
        <f>+Assumptions!$H175/12*Assumptions!$H149</f>
        <v>0</v>
      </c>
      <c r="BH87" s="227">
        <f>+Assumptions!$H175/12*Assumptions!$H149</f>
        <v>0</v>
      </c>
      <c r="BI87" s="227">
        <f>+Assumptions!$H175/12*Assumptions!$H149</f>
        <v>0</v>
      </c>
      <c r="BJ87" s="228">
        <f>+Assumptions!$H175/12*Assumptions!$H149</f>
        <v>0</v>
      </c>
    </row>
    <row r="88" spans="2:62" ht="15.75">
      <c r="B88" s="235">
        <f t="shared" si="75"/>
        <v>0</v>
      </c>
      <c r="C88" s="227">
        <f>+Assumptions!$D176/12*Assumptions!$D150</f>
        <v>0</v>
      </c>
      <c r="D88" s="227">
        <f>+Assumptions!$D176/12*Assumptions!$D150</f>
        <v>0</v>
      </c>
      <c r="E88" s="227">
        <f>+Assumptions!$D176/12*Assumptions!$D150</f>
        <v>0</v>
      </c>
      <c r="F88" s="227">
        <f>+Assumptions!$D176/12*Assumptions!$D150</f>
        <v>0</v>
      </c>
      <c r="G88" s="227">
        <f>+Assumptions!$D176/12*Assumptions!$D150</f>
        <v>0</v>
      </c>
      <c r="H88" s="227">
        <f>+Assumptions!$D176/12*Assumptions!$D150</f>
        <v>0</v>
      </c>
      <c r="I88" s="227">
        <f>+Assumptions!$D176/12*Assumptions!$D150</f>
        <v>0</v>
      </c>
      <c r="J88" s="227">
        <f>+Assumptions!$D176/12*Assumptions!$D150</f>
        <v>0</v>
      </c>
      <c r="K88" s="227">
        <f>+Assumptions!$D176/12*Assumptions!$D150</f>
        <v>0</v>
      </c>
      <c r="L88" s="227">
        <f>+Assumptions!$D176/12*Assumptions!$D150</f>
        <v>0</v>
      </c>
      <c r="M88" s="227">
        <f>+Assumptions!$D176/12*Assumptions!$D150</f>
        <v>0</v>
      </c>
      <c r="N88" s="227">
        <f>+Assumptions!$D176/12*Assumptions!$D150</f>
        <v>0</v>
      </c>
      <c r="O88" s="288">
        <f>+Assumptions!$E176/12*Assumptions!$E150</f>
        <v>0</v>
      </c>
      <c r="P88" s="227">
        <f>+Assumptions!$E176/12*Assumptions!$E150</f>
        <v>0</v>
      </c>
      <c r="Q88" s="227">
        <f>+Assumptions!$E176/12*Assumptions!$E150</f>
        <v>0</v>
      </c>
      <c r="R88" s="227">
        <f>+Assumptions!$E176/12*Assumptions!$E150</f>
        <v>0</v>
      </c>
      <c r="S88" s="227">
        <f>+Assumptions!$E176/12*Assumptions!$E150</f>
        <v>0</v>
      </c>
      <c r="T88" s="227">
        <f>+Assumptions!$E176/12*Assumptions!$E150</f>
        <v>0</v>
      </c>
      <c r="U88" s="227">
        <f>+Assumptions!$E176/12*Assumptions!$E150</f>
        <v>0</v>
      </c>
      <c r="V88" s="227">
        <f>+Assumptions!$E176/12*Assumptions!$E150</f>
        <v>0</v>
      </c>
      <c r="W88" s="227">
        <f>+Assumptions!$E176/12*Assumptions!$E150</f>
        <v>0</v>
      </c>
      <c r="X88" s="227">
        <f>+Assumptions!$E176/12*Assumptions!$E150</f>
        <v>0</v>
      </c>
      <c r="Y88" s="227">
        <f>+Assumptions!$E176/12*Assumptions!$E150</f>
        <v>0</v>
      </c>
      <c r="Z88" s="228">
        <f>+Assumptions!$E176/12*Assumptions!$E150</f>
        <v>0</v>
      </c>
      <c r="AA88" s="288">
        <f>+Assumptions!$F176/12*Assumptions!$F150</f>
        <v>0</v>
      </c>
      <c r="AB88" s="227">
        <f>+Assumptions!$F176/12*Assumptions!$F150</f>
        <v>0</v>
      </c>
      <c r="AC88" s="227">
        <f>+Assumptions!$F176/12*Assumptions!$F150</f>
        <v>0</v>
      </c>
      <c r="AD88" s="227">
        <f>+Assumptions!$F176/12*Assumptions!$F150</f>
        <v>0</v>
      </c>
      <c r="AE88" s="227">
        <f>+Assumptions!$F176/12*Assumptions!$F150</f>
        <v>0</v>
      </c>
      <c r="AF88" s="227">
        <f>+Assumptions!$F176/12*Assumptions!$F150</f>
        <v>0</v>
      </c>
      <c r="AG88" s="227">
        <f>+Assumptions!$F176/12*Assumptions!$F150</f>
        <v>0</v>
      </c>
      <c r="AH88" s="227">
        <f>+Assumptions!$F176/12*Assumptions!$F150</f>
        <v>0</v>
      </c>
      <c r="AI88" s="227">
        <f>+Assumptions!$F176/12*Assumptions!$F150</f>
        <v>0</v>
      </c>
      <c r="AJ88" s="227">
        <f>+Assumptions!$F176/12*Assumptions!$F150</f>
        <v>0</v>
      </c>
      <c r="AK88" s="227">
        <f>+Assumptions!$F176/12*Assumptions!$F150</f>
        <v>0</v>
      </c>
      <c r="AL88" s="228">
        <f>+Assumptions!$F176/12*Assumptions!$F150</f>
        <v>0</v>
      </c>
      <c r="AM88" s="288">
        <f>+Assumptions!$G176/12*Assumptions!$G150</f>
        <v>0</v>
      </c>
      <c r="AN88" s="227">
        <f>+Assumptions!$G176/12*Assumptions!$G150</f>
        <v>0</v>
      </c>
      <c r="AO88" s="227">
        <f>+Assumptions!$G176/12*Assumptions!$G150</f>
        <v>0</v>
      </c>
      <c r="AP88" s="227">
        <f>+Assumptions!$G176/12*Assumptions!$G150</f>
        <v>0</v>
      </c>
      <c r="AQ88" s="227">
        <f>+Assumptions!$G176/12*Assumptions!$G150</f>
        <v>0</v>
      </c>
      <c r="AR88" s="227">
        <f>+Assumptions!$G176/12*Assumptions!$G150</f>
        <v>0</v>
      </c>
      <c r="AS88" s="227">
        <f>+Assumptions!$G176/12*Assumptions!$G150</f>
        <v>0</v>
      </c>
      <c r="AT88" s="227">
        <f>+Assumptions!$G176/12*Assumptions!$G150</f>
        <v>0</v>
      </c>
      <c r="AU88" s="227">
        <f>+Assumptions!$G176/12*Assumptions!$G150</f>
        <v>0</v>
      </c>
      <c r="AV88" s="227">
        <f>+Assumptions!$G176/12*Assumptions!$G150</f>
        <v>0</v>
      </c>
      <c r="AW88" s="227">
        <f>+Assumptions!$G176/12*Assumptions!$G150</f>
        <v>0</v>
      </c>
      <c r="AX88" s="228">
        <f>+Assumptions!$G176/12*Assumptions!$G150</f>
        <v>0</v>
      </c>
      <c r="AY88" s="288">
        <f>+Assumptions!$H176/12*Assumptions!$H150</f>
        <v>0</v>
      </c>
      <c r="AZ88" s="227">
        <f>+Assumptions!$H176/12*Assumptions!$H150</f>
        <v>0</v>
      </c>
      <c r="BA88" s="227">
        <f>+Assumptions!$H176/12*Assumptions!$H150</f>
        <v>0</v>
      </c>
      <c r="BB88" s="227">
        <f>+Assumptions!$H176/12*Assumptions!$H150</f>
        <v>0</v>
      </c>
      <c r="BC88" s="227">
        <f>+Assumptions!$H176/12*Assumptions!$H150</f>
        <v>0</v>
      </c>
      <c r="BD88" s="227">
        <f>+Assumptions!$H176/12*Assumptions!$H150</f>
        <v>0</v>
      </c>
      <c r="BE88" s="227">
        <f>+Assumptions!$H176/12*Assumptions!$H150</f>
        <v>0</v>
      </c>
      <c r="BF88" s="227">
        <f>+Assumptions!$H176/12*Assumptions!$H150</f>
        <v>0</v>
      </c>
      <c r="BG88" s="227">
        <f>+Assumptions!$H176/12*Assumptions!$H150</f>
        <v>0</v>
      </c>
      <c r="BH88" s="227">
        <f>+Assumptions!$H176/12*Assumptions!$H150</f>
        <v>0</v>
      </c>
      <c r="BI88" s="227">
        <f>+Assumptions!$H176/12*Assumptions!$H150</f>
        <v>0</v>
      </c>
      <c r="BJ88" s="228">
        <f>+Assumptions!$H176/12*Assumptions!$H150</f>
        <v>0</v>
      </c>
    </row>
    <row r="89" spans="2:62" ht="15.75">
      <c r="B89" s="235">
        <f t="shared" si="75"/>
        <v>0</v>
      </c>
      <c r="C89" s="227">
        <f>+Assumptions!$D177/12*Assumptions!$D151</f>
        <v>0</v>
      </c>
      <c r="D89" s="227">
        <f>+Assumptions!$D177/12*Assumptions!$D151</f>
        <v>0</v>
      </c>
      <c r="E89" s="227">
        <f>+Assumptions!$D177/12*Assumptions!$D151</f>
        <v>0</v>
      </c>
      <c r="F89" s="227">
        <f>+Assumptions!$D177/12*Assumptions!$D151</f>
        <v>0</v>
      </c>
      <c r="G89" s="227">
        <f>+Assumptions!$D177/12*Assumptions!$D151</f>
        <v>0</v>
      </c>
      <c r="H89" s="227">
        <f>+Assumptions!$D177/12*Assumptions!$D151</f>
        <v>0</v>
      </c>
      <c r="I89" s="227">
        <f>+Assumptions!$D177/12*Assumptions!$D151</f>
        <v>0</v>
      </c>
      <c r="J89" s="227">
        <f>+Assumptions!$D177/12*Assumptions!$D151</f>
        <v>0</v>
      </c>
      <c r="K89" s="227">
        <f>+Assumptions!$D177/12*Assumptions!$D151</f>
        <v>0</v>
      </c>
      <c r="L89" s="227">
        <f>+Assumptions!$D177/12*Assumptions!$D151</f>
        <v>0</v>
      </c>
      <c r="M89" s="227">
        <f>+Assumptions!$D177/12*Assumptions!$D151</f>
        <v>0</v>
      </c>
      <c r="N89" s="227">
        <f>+Assumptions!$D177/12*Assumptions!$D151</f>
        <v>0</v>
      </c>
      <c r="O89" s="288">
        <f>+Assumptions!$E177/12*Assumptions!$E151</f>
        <v>0</v>
      </c>
      <c r="P89" s="227">
        <f>+Assumptions!$E177/12*Assumptions!$E151</f>
        <v>0</v>
      </c>
      <c r="Q89" s="227">
        <f>+Assumptions!$E177/12*Assumptions!$E151</f>
        <v>0</v>
      </c>
      <c r="R89" s="227">
        <f>+Assumptions!$E177/12*Assumptions!$E151</f>
        <v>0</v>
      </c>
      <c r="S89" s="227">
        <f>+Assumptions!$E177/12*Assumptions!$E151</f>
        <v>0</v>
      </c>
      <c r="T89" s="227">
        <f>+Assumptions!$E177/12*Assumptions!$E151</f>
        <v>0</v>
      </c>
      <c r="U89" s="227">
        <f>+Assumptions!$E177/12*Assumptions!$E151</f>
        <v>0</v>
      </c>
      <c r="V89" s="227">
        <f>+Assumptions!$E177/12*Assumptions!$E151</f>
        <v>0</v>
      </c>
      <c r="W89" s="227">
        <f>+Assumptions!$E177/12*Assumptions!$E151</f>
        <v>0</v>
      </c>
      <c r="X89" s="227">
        <f>+Assumptions!$E177/12*Assumptions!$E151</f>
        <v>0</v>
      </c>
      <c r="Y89" s="227">
        <f>+Assumptions!$E177/12*Assumptions!$E151</f>
        <v>0</v>
      </c>
      <c r="Z89" s="228">
        <f>+Assumptions!$E177/12*Assumptions!$E151</f>
        <v>0</v>
      </c>
      <c r="AA89" s="288">
        <f>+Assumptions!$F177/12*Assumptions!$F151</f>
        <v>0</v>
      </c>
      <c r="AB89" s="227">
        <f>+Assumptions!$F177/12*Assumptions!$F151</f>
        <v>0</v>
      </c>
      <c r="AC89" s="227">
        <f>+Assumptions!$F177/12*Assumptions!$F151</f>
        <v>0</v>
      </c>
      <c r="AD89" s="227">
        <f>+Assumptions!$F177/12*Assumptions!$F151</f>
        <v>0</v>
      </c>
      <c r="AE89" s="227">
        <f>+Assumptions!$F177/12*Assumptions!$F151</f>
        <v>0</v>
      </c>
      <c r="AF89" s="227">
        <f>+Assumptions!$F177/12*Assumptions!$F151</f>
        <v>0</v>
      </c>
      <c r="AG89" s="227">
        <f>+Assumptions!$F177/12*Assumptions!$F151</f>
        <v>0</v>
      </c>
      <c r="AH89" s="227">
        <f>+Assumptions!$F177/12*Assumptions!$F151</f>
        <v>0</v>
      </c>
      <c r="AI89" s="227">
        <f>+Assumptions!$F177/12*Assumptions!$F151</f>
        <v>0</v>
      </c>
      <c r="AJ89" s="227">
        <f>+Assumptions!$F177/12*Assumptions!$F151</f>
        <v>0</v>
      </c>
      <c r="AK89" s="227">
        <f>+Assumptions!$F177/12*Assumptions!$F151</f>
        <v>0</v>
      </c>
      <c r="AL89" s="228">
        <f>+Assumptions!$F177/12*Assumptions!$F151</f>
        <v>0</v>
      </c>
      <c r="AM89" s="288">
        <f>+Assumptions!$G177/12*Assumptions!$G151</f>
        <v>0</v>
      </c>
      <c r="AN89" s="227">
        <f>+Assumptions!$G177/12*Assumptions!$G151</f>
        <v>0</v>
      </c>
      <c r="AO89" s="227">
        <f>+Assumptions!$G177/12*Assumptions!$G151</f>
        <v>0</v>
      </c>
      <c r="AP89" s="227">
        <f>+Assumptions!$G177/12*Assumptions!$G151</f>
        <v>0</v>
      </c>
      <c r="AQ89" s="227">
        <f>+Assumptions!$G177/12*Assumptions!$G151</f>
        <v>0</v>
      </c>
      <c r="AR89" s="227">
        <f>+Assumptions!$G177/12*Assumptions!$G151</f>
        <v>0</v>
      </c>
      <c r="AS89" s="227">
        <f>+Assumptions!$G177/12*Assumptions!$G151</f>
        <v>0</v>
      </c>
      <c r="AT89" s="227">
        <f>+Assumptions!$G177/12*Assumptions!$G151</f>
        <v>0</v>
      </c>
      <c r="AU89" s="227">
        <f>+Assumptions!$G177/12*Assumptions!$G151</f>
        <v>0</v>
      </c>
      <c r="AV89" s="227">
        <f>+Assumptions!$G177/12*Assumptions!$G151</f>
        <v>0</v>
      </c>
      <c r="AW89" s="227">
        <f>+Assumptions!$G177/12*Assumptions!$G151</f>
        <v>0</v>
      </c>
      <c r="AX89" s="228">
        <f>+Assumptions!$G177/12*Assumptions!$G151</f>
        <v>0</v>
      </c>
      <c r="AY89" s="288">
        <f>+Assumptions!$H177/12*Assumptions!$H151</f>
        <v>0</v>
      </c>
      <c r="AZ89" s="227">
        <f>+Assumptions!$H177/12*Assumptions!$H151</f>
        <v>0</v>
      </c>
      <c r="BA89" s="227">
        <f>+Assumptions!$H177/12*Assumptions!$H151</f>
        <v>0</v>
      </c>
      <c r="BB89" s="227">
        <f>+Assumptions!$H177/12*Assumptions!$H151</f>
        <v>0</v>
      </c>
      <c r="BC89" s="227">
        <f>+Assumptions!$H177/12*Assumptions!$H151</f>
        <v>0</v>
      </c>
      <c r="BD89" s="227">
        <f>+Assumptions!$H177/12*Assumptions!$H151</f>
        <v>0</v>
      </c>
      <c r="BE89" s="227">
        <f>+Assumptions!$H177/12*Assumptions!$H151</f>
        <v>0</v>
      </c>
      <c r="BF89" s="227">
        <f>+Assumptions!$H177/12*Assumptions!$H151</f>
        <v>0</v>
      </c>
      <c r="BG89" s="227">
        <f>+Assumptions!$H177/12*Assumptions!$H151</f>
        <v>0</v>
      </c>
      <c r="BH89" s="227">
        <f>+Assumptions!$H177/12*Assumptions!$H151</f>
        <v>0</v>
      </c>
      <c r="BI89" s="227">
        <f>+Assumptions!$H177/12*Assumptions!$H151</f>
        <v>0</v>
      </c>
      <c r="BJ89" s="228">
        <f>+Assumptions!$H177/12*Assumptions!$H151</f>
        <v>0</v>
      </c>
    </row>
    <row r="90" spans="2:62" ht="16.2" thickBot="1">
      <c r="B90" s="241"/>
      <c r="C90" s="229"/>
      <c r="D90" s="229"/>
      <c r="E90" s="229"/>
      <c r="F90" s="229"/>
      <c r="G90" s="229"/>
      <c r="H90" s="229"/>
      <c r="I90" s="229"/>
      <c r="J90" s="229"/>
      <c r="K90" s="229"/>
      <c r="L90" s="229"/>
      <c r="M90" s="229"/>
      <c r="N90" s="229"/>
      <c r="O90" s="289"/>
      <c r="P90" s="229"/>
      <c r="Q90" s="229"/>
      <c r="R90" s="229"/>
      <c r="S90" s="229"/>
      <c r="T90" s="229"/>
      <c r="U90" s="229"/>
      <c r="V90" s="229"/>
      <c r="W90" s="229"/>
      <c r="X90" s="229"/>
      <c r="Y90" s="229"/>
      <c r="Z90" s="230"/>
      <c r="AA90" s="289"/>
      <c r="AB90" s="229"/>
      <c r="AC90" s="229"/>
      <c r="AD90" s="229"/>
      <c r="AE90" s="229"/>
      <c r="AF90" s="229"/>
      <c r="AG90" s="229"/>
      <c r="AH90" s="229"/>
      <c r="AI90" s="229"/>
      <c r="AJ90" s="229"/>
      <c r="AK90" s="229"/>
      <c r="AL90" s="230"/>
      <c r="AM90" s="289"/>
      <c r="AN90" s="229"/>
      <c r="AO90" s="229"/>
      <c r="AP90" s="229"/>
      <c r="AQ90" s="229"/>
      <c r="AR90" s="229"/>
      <c r="AS90" s="229"/>
      <c r="AT90" s="229"/>
      <c r="AU90" s="229"/>
      <c r="AV90" s="229"/>
      <c r="AW90" s="229"/>
      <c r="AX90" s="230"/>
      <c r="AY90" s="289"/>
      <c r="AZ90" s="229"/>
      <c r="BA90" s="229"/>
      <c r="BB90" s="229"/>
      <c r="BC90" s="229"/>
      <c r="BD90" s="229"/>
      <c r="BE90" s="229"/>
      <c r="BF90" s="229"/>
      <c r="BG90" s="229"/>
      <c r="BH90" s="229"/>
      <c r="BI90" s="229"/>
      <c r="BJ90" s="230"/>
    </row>
    <row r="92" ht="16.2" thickBot="1"/>
    <row r="93" spans="2:62" ht="15.75">
      <c r="B93" s="1603" t="s">
        <v>164</v>
      </c>
      <c r="C93" s="1579">
        <f>+C64</f>
        <v>2020</v>
      </c>
      <c r="D93" s="1579"/>
      <c r="E93" s="1579"/>
      <c r="F93" s="1579"/>
      <c r="G93" s="1579"/>
      <c r="H93" s="1579"/>
      <c r="I93" s="1579"/>
      <c r="J93" s="1579"/>
      <c r="K93" s="1579"/>
      <c r="L93" s="1579"/>
      <c r="M93" s="1579"/>
      <c r="N93" s="1580"/>
      <c r="O93" s="1595">
        <f>+O64</f>
        <v>2021</v>
      </c>
      <c r="P93" s="1579"/>
      <c r="Q93" s="1579"/>
      <c r="R93" s="1579"/>
      <c r="S93" s="1579"/>
      <c r="T93" s="1579"/>
      <c r="U93" s="1579"/>
      <c r="V93" s="1579"/>
      <c r="W93" s="1579"/>
      <c r="X93" s="1579"/>
      <c r="Y93" s="1579"/>
      <c r="Z93" s="1580"/>
      <c r="AA93" s="1595">
        <f>+AA64</f>
        <v>2022</v>
      </c>
      <c r="AB93" s="1579"/>
      <c r="AC93" s="1579"/>
      <c r="AD93" s="1579"/>
      <c r="AE93" s="1579"/>
      <c r="AF93" s="1579"/>
      <c r="AG93" s="1579"/>
      <c r="AH93" s="1579"/>
      <c r="AI93" s="1579"/>
      <c r="AJ93" s="1579"/>
      <c r="AK93" s="1579"/>
      <c r="AL93" s="1580"/>
      <c r="AM93" s="1595">
        <f>+AM64</f>
        <v>2023</v>
      </c>
      <c r="AN93" s="1579"/>
      <c r="AO93" s="1579"/>
      <c r="AP93" s="1579"/>
      <c r="AQ93" s="1579"/>
      <c r="AR93" s="1579"/>
      <c r="AS93" s="1579"/>
      <c r="AT93" s="1579"/>
      <c r="AU93" s="1579"/>
      <c r="AV93" s="1579"/>
      <c r="AW93" s="1579"/>
      <c r="AX93" s="1580"/>
      <c r="AY93" s="1595">
        <f>+AY64</f>
        <v>2024</v>
      </c>
      <c r="AZ93" s="1579"/>
      <c r="BA93" s="1579"/>
      <c r="BB93" s="1579"/>
      <c r="BC93" s="1579"/>
      <c r="BD93" s="1579"/>
      <c r="BE93" s="1579"/>
      <c r="BF93" s="1579"/>
      <c r="BG93" s="1579"/>
      <c r="BH93" s="1579"/>
      <c r="BI93" s="1579"/>
      <c r="BJ93" s="1580"/>
    </row>
    <row r="94" spans="2:62" ht="16.2" thickBot="1">
      <c r="B94" s="1604"/>
      <c r="C94" s="1581"/>
      <c r="D94" s="1581"/>
      <c r="E94" s="1581"/>
      <c r="F94" s="1581"/>
      <c r="G94" s="1581"/>
      <c r="H94" s="1581"/>
      <c r="I94" s="1581"/>
      <c r="J94" s="1581"/>
      <c r="K94" s="1581"/>
      <c r="L94" s="1581"/>
      <c r="M94" s="1581"/>
      <c r="N94" s="1582"/>
      <c r="O94" s="1596"/>
      <c r="P94" s="1581"/>
      <c r="Q94" s="1581"/>
      <c r="R94" s="1581"/>
      <c r="S94" s="1581"/>
      <c r="T94" s="1581"/>
      <c r="U94" s="1581"/>
      <c r="V94" s="1581"/>
      <c r="W94" s="1581"/>
      <c r="X94" s="1581"/>
      <c r="Y94" s="1581"/>
      <c r="Z94" s="1582"/>
      <c r="AA94" s="1596"/>
      <c r="AB94" s="1581"/>
      <c r="AC94" s="1581"/>
      <c r="AD94" s="1581"/>
      <c r="AE94" s="1581"/>
      <c r="AF94" s="1581"/>
      <c r="AG94" s="1581"/>
      <c r="AH94" s="1581"/>
      <c r="AI94" s="1581"/>
      <c r="AJ94" s="1581"/>
      <c r="AK94" s="1581"/>
      <c r="AL94" s="1582"/>
      <c r="AM94" s="1596"/>
      <c r="AN94" s="1581"/>
      <c r="AO94" s="1581"/>
      <c r="AP94" s="1581"/>
      <c r="AQ94" s="1581"/>
      <c r="AR94" s="1581"/>
      <c r="AS94" s="1581"/>
      <c r="AT94" s="1581"/>
      <c r="AU94" s="1581"/>
      <c r="AV94" s="1581"/>
      <c r="AW94" s="1581"/>
      <c r="AX94" s="1582"/>
      <c r="AY94" s="1596"/>
      <c r="AZ94" s="1581"/>
      <c r="BA94" s="1581"/>
      <c r="BB94" s="1581"/>
      <c r="BC94" s="1581"/>
      <c r="BD94" s="1581"/>
      <c r="BE94" s="1581"/>
      <c r="BF94" s="1581"/>
      <c r="BG94" s="1581"/>
      <c r="BH94" s="1581"/>
      <c r="BI94" s="1581"/>
      <c r="BJ94" s="1582"/>
    </row>
    <row r="95" spans="2:62" ht="16.2" thickBot="1">
      <c r="B95" s="1604"/>
      <c r="C95" s="275" t="s">
        <v>187</v>
      </c>
      <c r="D95" s="275" t="s">
        <v>188</v>
      </c>
      <c r="E95" s="275" t="s">
        <v>189</v>
      </c>
      <c r="F95" s="275" t="s">
        <v>190</v>
      </c>
      <c r="G95" s="275" t="s">
        <v>8</v>
      </c>
      <c r="H95" s="275" t="s">
        <v>191</v>
      </c>
      <c r="I95" s="275" t="s">
        <v>192</v>
      </c>
      <c r="J95" s="275" t="s">
        <v>193</v>
      </c>
      <c r="K95" s="275" t="s">
        <v>194</v>
      </c>
      <c r="L95" s="275" t="s">
        <v>195</v>
      </c>
      <c r="M95" s="275" t="s">
        <v>196</v>
      </c>
      <c r="N95" s="275" t="s">
        <v>197</v>
      </c>
      <c r="O95" s="274" t="s">
        <v>187</v>
      </c>
      <c r="P95" s="275" t="s">
        <v>188</v>
      </c>
      <c r="Q95" s="275" t="s">
        <v>189</v>
      </c>
      <c r="R95" s="275" t="s">
        <v>190</v>
      </c>
      <c r="S95" s="275" t="s">
        <v>8</v>
      </c>
      <c r="T95" s="275" t="s">
        <v>191</v>
      </c>
      <c r="U95" s="275" t="s">
        <v>192</v>
      </c>
      <c r="V95" s="275" t="s">
        <v>193</v>
      </c>
      <c r="W95" s="275" t="s">
        <v>194</v>
      </c>
      <c r="X95" s="275" t="s">
        <v>195</v>
      </c>
      <c r="Y95" s="275" t="s">
        <v>196</v>
      </c>
      <c r="Z95" s="276" t="s">
        <v>197</v>
      </c>
      <c r="AA95" s="274" t="s">
        <v>187</v>
      </c>
      <c r="AB95" s="275" t="s">
        <v>188</v>
      </c>
      <c r="AC95" s="275" t="s">
        <v>189</v>
      </c>
      <c r="AD95" s="275" t="s">
        <v>190</v>
      </c>
      <c r="AE95" s="275" t="s">
        <v>8</v>
      </c>
      <c r="AF95" s="275" t="s">
        <v>191</v>
      </c>
      <c r="AG95" s="275" t="s">
        <v>192</v>
      </c>
      <c r="AH95" s="275" t="s">
        <v>193</v>
      </c>
      <c r="AI95" s="275" t="s">
        <v>194</v>
      </c>
      <c r="AJ95" s="275" t="s">
        <v>195</v>
      </c>
      <c r="AK95" s="275" t="s">
        <v>196</v>
      </c>
      <c r="AL95" s="276" t="s">
        <v>197</v>
      </c>
      <c r="AM95" s="274" t="s">
        <v>187</v>
      </c>
      <c r="AN95" s="275" t="s">
        <v>188</v>
      </c>
      <c r="AO95" s="275" t="s">
        <v>189</v>
      </c>
      <c r="AP95" s="275" t="s">
        <v>190</v>
      </c>
      <c r="AQ95" s="275" t="s">
        <v>8</v>
      </c>
      <c r="AR95" s="275" t="s">
        <v>191</v>
      </c>
      <c r="AS95" s="275" t="s">
        <v>192</v>
      </c>
      <c r="AT95" s="275" t="s">
        <v>193</v>
      </c>
      <c r="AU95" s="275" t="s">
        <v>194</v>
      </c>
      <c r="AV95" s="275" t="s">
        <v>195</v>
      </c>
      <c r="AW95" s="275" t="s">
        <v>196</v>
      </c>
      <c r="AX95" s="276" t="s">
        <v>197</v>
      </c>
      <c r="AY95" s="414" t="s">
        <v>187</v>
      </c>
      <c r="AZ95" s="275" t="s">
        <v>188</v>
      </c>
      <c r="BA95" s="275" t="s">
        <v>189</v>
      </c>
      <c r="BB95" s="275" t="s">
        <v>190</v>
      </c>
      <c r="BC95" s="275" t="s">
        <v>8</v>
      </c>
      <c r="BD95" s="275" t="s">
        <v>191</v>
      </c>
      <c r="BE95" s="275" t="s">
        <v>192</v>
      </c>
      <c r="BF95" s="275" t="s">
        <v>193</v>
      </c>
      <c r="BG95" s="275" t="s">
        <v>194</v>
      </c>
      <c r="BH95" s="275" t="s">
        <v>195</v>
      </c>
      <c r="BI95" s="275" t="s">
        <v>196</v>
      </c>
      <c r="BJ95" s="415" t="s">
        <v>197</v>
      </c>
    </row>
    <row r="96" spans="2:62" ht="15.75">
      <c r="B96" s="238" t="s">
        <v>163</v>
      </c>
      <c r="C96" s="239">
        <f aca="true" t="shared" si="76" ref="C96:AH96">SUM(C97:C119)</f>
        <v>110.65843621399175</v>
      </c>
      <c r="D96" s="239">
        <f t="shared" si="76"/>
        <v>110.65843621399175</v>
      </c>
      <c r="E96" s="239">
        <f t="shared" si="76"/>
        <v>111.48148148148148</v>
      </c>
      <c r="F96" s="239">
        <f t="shared" si="76"/>
        <v>102.22222222222223</v>
      </c>
      <c r="G96" s="239">
        <f t="shared" si="76"/>
        <v>74.37037037037037</v>
      </c>
      <c r="H96" s="239">
        <f t="shared" si="76"/>
        <v>74.37037037037037</v>
      </c>
      <c r="I96" s="239">
        <f t="shared" si="76"/>
        <v>46.370370370370374</v>
      </c>
      <c r="J96" s="239">
        <f t="shared" si="76"/>
        <v>46.370370370370374</v>
      </c>
      <c r="K96" s="239">
        <f t="shared" si="76"/>
        <v>271.6049382716049</v>
      </c>
      <c r="L96" s="239">
        <f t="shared" si="76"/>
        <v>395.0617283950617</v>
      </c>
      <c r="M96" s="239">
        <f t="shared" si="76"/>
        <v>395.0617283950617</v>
      </c>
      <c r="N96" s="239">
        <f t="shared" si="76"/>
        <v>395.0617283950617</v>
      </c>
      <c r="O96" s="287">
        <f t="shared" si="76"/>
        <v>790.1234567901234</v>
      </c>
      <c r="P96" s="239">
        <f t="shared" si="76"/>
        <v>790.1234567901234</v>
      </c>
      <c r="Q96" s="239">
        <f t="shared" si="76"/>
        <v>790.1234567901234</v>
      </c>
      <c r="R96" s="239">
        <f t="shared" si="76"/>
        <v>790.1234567901234</v>
      </c>
      <c r="S96" s="239">
        <f t="shared" si="76"/>
        <v>790.1234567901234</v>
      </c>
      <c r="T96" s="239">
        <f t="shared" si="76"/>
        <v>790.1234567901234</v>
      </c>
      <c r="U96" s="239">
        <f t="shared" si="76"/>
        <v>790.1234567901234</v>
      </c>
      <c r="V96" s="239">
        <f t="shared" si="76"/>
        <v>790.1234567901234</v>
      </c>
      <c r="W96" s="239">
        <f t="shared" si="76"/>
        <v>790.1234567901234</v>
      </c>
      <c r="X96" s="239">
        <f t="shared" si="76"/>
        <v>790.1234567901234</v>
      </c>
      <c r="Y96" s="239">
        <f t="shared" si="76"/>
        <v>790.1234567901234</v>
      </c>
      <c r="Z96" s="240">
        <f t="shared" si="76"/>
        <v>790.1234567901234</v>
      </c>
      <c r="AA96" s="287">
        <f t="shared" si="76"/>
        <v>1475.3086419753085</v>
      </c>
      <c r="AB96" s="239">
        <f t="shared" si="76"/>
        <v>1475.3086419753085</v>
      </c>
      <c r="AC96" s="239">
        <f t="shared" si="76"/>
        <v>1475.3086419753085</v>
      </c>
      <c r="AD96" s="239">
        <f t="shared" si="76"/>
        <v>1475.3086419753085</v>
      </c>
      <c r="AE96" s="239">
        <f t="shared" si="76"/>
        <v>1475.3086419753085</v>
      </c>
      <c r="AF96" s="239">
        <f t="shared" si="76"/>
        <v>1475.3086419753085</v>
      </c>
      <c r="AG96" s="239">
        <f t="shared" si="76"/>
        <v>1475.3086419753085</v>
      </c>
      <c r="AH96" s="239">
        <f t="shared" si="76"/>
        <v>1475.3086419753085</v>
      </c>
      <c r="AI96" s="239">
        <f aca="true" t="shared" si="77" ref="AI96:BJ96">SUM(AI97:AI119)</f>
        <v>1475.3086419753085</v>
      </c>
      <c r="AJ96" s="239">
        <f t="shared" si="77"/>
        <v>1475.3086419753085</v>
      </c>
      <c r="AK96" s="239">
        <f t="shared" si="77"/>
        <v>1475.3086419753085</v>
      </c>
      <c r="AL96" s="240">
        <f t="shared" si="77"/>
        <v>1475.3086419753085</v>
      </c>
      <c r="AM96" s="287">
        <f t="shared" si="77"/>
        <v>1506.172839506173</v>
      </c>
      <c r="AN96" s="239">
        <f t="shared" si="77"/>
        <v>1506.172839506173</v>
      </c>
      <c r="AO96" s="239">
        <f t="shared" si="77"/>
        <v>1506.172839506173</v>
      </c>
      <c r="AP96" s="239">
        <f t="shared" si="77"/>
        <v>1506.172839506173</v>
      </c>
      <c r="AQ96" s="239">
        <f t="shared" si="77"/>
        <v>1506.172839506173</v>
      </c>
      <c r="AR96" s="239">
        <f t="shared" si="77"/>
        <v>1506.172839506173</v>
      </c>
      <c r="AS96" s="239">
        <f t="shared" si="77"/>
        <v>1506.172839506173</v>
      </c>
      <c r="AT96" s="239">
        <f t="shared" si="77"/>
        <v>1506.172839506173</v>
      </c>
      <c r="AU96" s="239">
        <f t="shared" si="77"/>
        <v>1506.172839506173</v>
      </c>
      <c r="AV96" s="239">
        <f t="shared" si="77"/>
        <v>1506.172839506173</v>
      </c>
      <c r="AW96" s="239">
        <f t="shared" si="77"/>
        <v>1506.172839506173</v>
      </c>
      <c r="AX96" s="240">
        <f t="shared" si="77"/>
        <v>1506.172839506173</v>
      </c>
      <c r="AY96" s="287">
        <f t="shared" si="77"/>
        <v>1790.1234567901236</v>
      </c>
      <c r="AZ96" s="239">
        <f t="shared" si="77"/>
        <v>1790.1234567901236</v>
      </c>
      <c r="BA96" s="239">
        <f t="shared" si="77"/>
        <v>1790.1234567901236</v>
      </c>
      <c r="BB96" s="239">
        <f t="shared" si="77"/>
        <v>1790.1234567901236</v>
      </c>
      <c r="BC96" s="239">
        <f t="shared" si="77"/>
        <v>1790.1234567901236</v>
      </c>
      <c r="BD96" s="239">
        <f t="shared" si="77"/>
        <v>1790.1234567901236</v>
      </c>
      <c r="BE96" s="239">
        <f t="shared" si="77"/>
        <v>1790.1234567901236</v>
      </c>
      <c r="BF96" s="239">
        <f t="shared" si="77"/>
        <v>1790.1234567901236</v>
      </c>
      <c r="BG96" s="239">
        <f t="shared" si="77"/>
        <v>1790.1234567901236</v>
      </c>
      <c r="BH96" s="239">
        <f t="shared" si="77"/>
        <v>1790.1234567901236</v>
      </c>
      <c r="BI96" s="239">
        <f t="shared" si="77"/>
        <v>1790.1234567901236</v>
      </c>
      <c r="BJ96" s="240">
        <f t="shared" si="77"/>
        <v>1790.1234567901236</v>
      </c>
    </row>
    <row r="97" spans="2:62" ht="15.75">
      <c r="B97" s="215" t="str">
        <f aca="true" t="shared" si="78" ref="B97:B118">B11</f>
        <v>CEO</v>
      </c>
      <c r="C97" s="227">
        <f>+C68*$C$3</f>
        <v>0</v>
      </c>
      <c r="D97" s="227">
        <f aca="true" t="shared" si="79" ref="D97:BJ97">+D68*$C$3</f>
        <v>0</v>
      </c>
      <c r="E97" s="227">
        <f t="shared" si="79"/>
        <v>0</v>
      </c>
      <c r="F97" s="227">
        <f t="shared" si="79"/>
        <v>0</v>
      </c>
      <c r="G97" s="227">
        <f t="shared" si="79"/>
        <v>0</v>
      </c>
      <c r="H97" s="227">
        <f t="shared" si="79"/>
        <v>0</v>
      </c>
      <c r="I97" s="227">
        <f t="shared" si="79"/>
        <v>0</v>
      </c>
      <c r="J97" s="227">
        <f t="shared" si="79"/>
        <v>0</v>
      </c>
      <c r="K97" s="227">
        <f t="shared" si="79"/>
        <v>0</v>
      </c>
      <c r="L97" s="227">
        <f t="shared" si="79"/>
        <v>0</v>
      </c>
      <c r="M97" s="227">
        <f t="shared" si="79"/>
        <v>0</v>
      </c>
      <c r="N97" s="227">
        <f t="shared" si="79"/>
        <v>0</v>
      </c>
      <c r="O97" s="288">
        <f t="shared" si="79"/>
        <v>0</v>
      </c>
      <c r="P97" s="227">
        <f t="shared" si="79"/>
        <v>0</v>
      </c>
      <c r="Q97" s="227">
        <f t="shared" si="79"/>
        <v>0</v>
      </c>
      <c r="R97" s="227">
        <f t="shared" si="79"/>
        <v>0</v>
      </c>
      <c r="S97" s="227">
        <f t="shared" si="79"/>
        <v>0</v>
      </c>
      <c r="T97" s="227">
        <f t="shared" si="79"/>
        <v>0</v>
      </c>
      <c r="U97" s="227">
        <f t="shared" si="79"/>
        <v>0</v>
      </c>
      <c r="V97" s="227">
        <f t="shared" si="79"/>
        <v>0</v>
      </c>
      <c r="W97" s="227">
        <f t="shared" si="79"/>
        <v>0</v>
      </c>
      <c r="X97" s="227">
        <f t="shared" si="79"/>
        <v>0</v>
      </c>
      <c r="Y97" s="227">
        <f t="shared" si="79"/>
        <v>0</v>
      </c>
      <c r="Z97" s="228">
        <f t="shared" si="79"/>
        <v>0</v>
      </c>
      <c r="AA97" s="288">
        <f t="shared" si="79"/>
        <v>0</v>
      </c>
      <c r="AB97" s="227">
        <f t="shared" si="79"/>
        <v>0</v>
      </c>
      <c r="AC97" s="227">
        <f t="shared" si="79"/>
        <v>0</v>
      </c>
      <c r="AD97" s="227">
        <f t="shared" si="79"/>
        <v>0</v>
      </c>
      <c r="AE97" s="227">
        <f t="shared" si="79"/>
        <v>0</v>
      </c>
      <c r="AF97" s="227">
        <f t="shared" si="79"/>
        <v>0</v>
      </c>
      <c r="AG97" s="227">
        <f t="shared" si="79"/>
        <v>0</v>
      </c>
      <c r="AH97" s="227">
        <f t="shared" si="79"/>
        <v>0</v>
      </c>
      <c r="AI97" s="227">
        <f t="shared" si="79"/>
        <v>0</v>
      </c>
      <c r="AJ97" s="227">
        <f t="shared" si="79"/>
        <v>0</v>
      </c>
      <c r="AK97" s="227">
        <f t="shared" si="79"/>
        <v>0</v>
      </c>
      <c r="AL97" s="228">
        <f t="shared" si="79"/>
        <v>0</v>
      </c>
      <c r="AM97" s="288">
        <f t="shared" si="79"/>
        <v>0</v>
      </c>
      <c r="AN97" s="227">
        <f t="shared" si="79"/>
        <v>0</v>
      </c>
      <c r="AO97" s="227">
        <f t="shared" si="79"/>
        <v>0</v>
      </c>
      <c r="AP97" s="227">
        <f t="shared" si="79"/>
        <v>0</v>
      </c>
      <c r="AQ97" s="227">
        <f t="shared" si="79"/>
        <v>0</v>
      </c>
      <c r="AR97" s="227">
        <f t="shared" si="79"/>
        <v>0</v>
      </c>
      <c r="AS97" s="227">
        <f t="shared" si="79"/>
        <v>0</v>
      </c>
      <c r="AT97" s="227">
        <f t="shared" si="79"/>
        <v>0</v>
      </c>
      <c r="AU97" s="227">
        <f t="shared" si="79"/>
        <v>0</v>
      </c>
      <c r="AV97" s="227">
        <f t="shared" si="79"/>
        <v>0</v>
      </c>
      <c r="AW97" s="227">
        <f t="shared" si="79"/>
        <v>0</v>
      </c>
      <c r="AX97" s="228">
        <f t="shared" si="79"/>
        <v>0</v>
      </c>
      <c r="AY97" s="288">
        <f t="shared" si="79"/>
        <v>0</v>
      </c>
      <c r="AZ97" s="227">
        <f t="shared" si="79"/>
        <v>0</v>
      </c>
      <c r="BA97" s="227">
        <f t="shared" si="79"/>
        <v>0</v>
      </c>
      <c r="BB97" s="227">
        <f t="shared" si="79"/>
        <v>0</v>
      </c>
      <c r="BC97" s="227">
        <f t="shared" si="79"/>
        <v>0</v>
      </c>
      <c r="BD97" s="227">
        <f t="shared" si="79"/>
        <v>0</v>
      </c>
      <c r="BE97" s="227">
        <f t="shared" si="79"/>
        <v>0</v>
      </c>
      <c r="BF97" s="227">
        <f t="shared" si="79"/>
        <v>0</v>
      </c>
      <c r="BG97" s="227">
        <f t="shared" si="79"/>
        <v>0</v>
      </c>
      <c r="BH97" s="227">
        <f t="shared" si="79"/>
        <v>0</v>
      </c>
      <c r="BI97" s="227">
        <f t="shared" si="79"/>
        <v>0</v>
      </c>
      <c r="BJ97" s="228">
        <f t="shared" si="79"/>
        <v>0</v>
      </c>
    </row>
    <row r="98" spans="2:62" ht="15.75">
      <c r="B98" s="215" t="str">
        <f t="shared" si="78"/>
        <v>COO</v>
      </c>
      <c r="C98" s="227">
        <f>+C69/$D$3</f>
        <v>55.329218106995874</v>
      </c>
      <c r="D98" s="227">
        <f aca="true" t="shared" si="80" ref="D98:BJ102">+D69/$D$3</f>
        <v>55.329218106995874</v>
      </c>
      <c r="E98" s="227">
        <f t="shared" si="80"/>
        <v>55.77777777777778</v>
      </c>
      <c r="F98" s="227">
        <f t="shared" si="80"/>
        <v>51.111111111111114</v>
      </c>
      <c r="G98" s="227">
        <f t="shared" si="80"/>
        <v>37.18518518518518</v>
      </c>
      <c r="H98" s="227">
        <f t="shared" si="80"/>
        <v>37.18518518518518</v>
      </c>
      <c r="I98" s="227">
        <f t="shared" si="80"/>
        <v>23.185185185185187</v>
      </c>
      <c r="J98" s="227">
        <f t="shared" si="80"/>
        <v>23.185185185185187</v>
      </c>
      <c r="K98" s="227">
        <f t="shared" si="80"/>
        <v>135.80246913580245</v>
      </c>
      <c r="L98" s="227">
        <f t="shared" si="80"/>
        <v>135.80246913580245</v>
      </c>
      <c r="M98" s="227">
        <f t="shared" si="80"/>
        <v>135.80246913580245</v>
      </c>
      <c r="N98" s="227">
        <f t="shared" si="80"/>
        <v>135.80246913580245</v>
      </c>
      <c r="O98" s="288">
        <f t="shared" si="80"/>
        <v>135.80246913580245</v>
      </c>
      <c r="P98" s="227">
        <f t="shared" si="80"/>
        <v>135.80246913580245</v>
      </c>
      <c r="Q98" s="227">
        <f t="shared" si="80"/>
        <v>135.80246913580245</v>
      </c>
      <c r="R98" s="227">
        <f t="shared" si="80"/>
        <v>135.80246913580245</v>
      </c>
      <c r="S98" s="227">
        <f t="shared" si="80"/>
        <v>135.80246913580245</v>
      </c>
      <c r="T98" s="227">
        <f t="shared" si="80"/>
        <v>135.80246913580245</v>
      </c>
      <c r="U98" s="227">
        <f t="shared" si="80"/>
        <v>135.80246913580245</v>
      </c>
      <c r="V98" s="227">
        <f t="shared" si="80"/>
        <v>135.80246913580245</v>
      </c>
      <c r="W98" s="227">
        <f t="shared" si="80"/>
        <v>135.80246913580245</v>
      </c>
      <c r="X98" s="227">
        <f t="shared" si="80"/>
        <v>135.80246913580245</v>
      </c>
      <c r="Y98" s="227">
        <f t="shared" si="80"/>
        <v>135.80246913580245</v>
      </c>
      <c r="Z98" s="228">
        <f t="shared" si="80"/>
        <v>135.80246913580245</v>
      </c>
      <c r="AA98" s="288">
        <f t="shared" si="80"/>
        <v>154.320987654321</v>
      </c>
      <c r="AB98" s="227">
        <f t="shared" si="80"/>
        <v>154.320987654321</v>
      </c>
      <c r="AC98" s="227">
        <f t="shared" si="80"/>
        <v>154.320987654321</v>
      </c>
      <c r="AD98" s="227">
        <f t="shared" si="80"/>
        <v>154.320987654321</v>
      </c>
      <c r="AE98" s="227">
        <f t="shared" si="80"/>
        <v>154.320987654321</v>
      </c>
      <c r="AF98" s="227">
        <f t="shared" si="80"/>
        <v>154.320987654321</v>
      </c>
      <c r="AG98" s="227">
        <f t="shared" si="80"/>
        <v>154.320987654321</v>
      </c>
      <c r="AH98" s="227">
        <f t="shared" si="80"/>
        <v>154.320987654321</v>
      </c>
      <c r="AI98" s="227">
        <f t="shared" si="80"/>
        <v>154.320987654321</v>
      </c>
      <c r="AJ98" s="227">
        <f t="shared" si="80"/>
        <v>154.320987654321</v>
      </c>
      <c r="AK98" s="227">
        <f t="shared" si="80"/>
        <v>154.320987654321</v>
      </c>
      <c r="AL98" s="228">
        <f t="shared" si="80"/>
        <v>154.320987654321</v>
      </c>
      <c r="AM98" s="288">
        <f t="shared" si="80"/>
        <v>160.49382716049382</v>
      </c>
      <c r="AN98" s="227">
        <f t="shared" si="80"/>
        <v>160.49382716049382</v>
      </c>
      <c r="AO98" s="227">
        <f t="shared" si="80"/>
        <v>160.49382716049382</v>
      </c>
      <c r="AP98" s="227">
        <f t="shared" si="80"/>
        <v>160.49382716049382</v>
      </c>
      <c r="AQ98" s="227">
        <f t="shared" si="80"/>
        <v>160.49382716049382</v>
      </c>
      <c r="AR98" s="227">
        <f t="shared" si="80"/>
        <v>160.49382716049382</v>
      </c>
      <c r="AS98" s="227">
        <f t="shared" si="80"/>
        <v>160.49382716049382</v>
      </c>
      <c r="AT98" s="227">
        <f t="shared" si="80"/>
        <v>160.49382716049382</v>
      </c>
      <c r="AU98" s="227">
        <f t="shared" si="80"/>
        <v>160.49382716049382</v>
      </c>
      <c r="AV98" s="227">
        <f t="shared" si="80"/>
        <v>160.49382716049382</v>
      </c>
      <c r="AW98" s="227">
        <f t="shared" si="80"/>
        <v>160.49382716049382</v>
      </c>
      <c r="AX98" s="228">
        <f t="shared" si="80"/>
        <v>160.49382716049382</v>
      </c>
      <c r="AY98" s="288">
        <f t="shared" si="80"/>
        <v>185.1851851851852</v>
      </c>
      <c r="AZ98" s="227">
        <f t="shared" si="80"/>
        <v>185.1851851851852</v>
      </c>
      <c r="BA98" s="227">
        <f t="shared" si="80"/>
        <v>185.1851851851852</v>
      </c>
      <c r="BB98" s="227">
        <f t="shared" si="80"/>
        <v>185.1851851851852</v>
      </c>
      <c r="BC98" s="227">
        <f t="shared" si="80"/>
        <v>185.1851851851852</v>
      </c>
      <c r="BD98" s="227">
        <f t="shared" si="80"/>
        <v>185.1851851851852</v>
      </c>
      <c r="BE98" s="227">
        <f t="shared" si="80"/>
        <v>185.1851851851852</v>
      </c>
      <c r="BF98" s="227">
        <f t="shared" si="80"/>
        <v>185.1851851851852</v>
      </c>
      <c r="BG98" s="227">
        <f t="shared" si="80"/>
        <v>185.1851851851852</v>
      </c>
      <c r="BH98" s="227">
        <f t="shared" si="80"/>
        <v>185.1851851851852</v>
      </c>
      <c r="BI98" s="227">
        <f t="shared" si="80"/>
        <v>185.1851851851852</v>
      </c>
      <c r="BJ98" s="228">
        <f t="shared" si="80"/>
        <v>185.1851851851852</v>
      </c>
    </row>
    <row r="99" spans="2:62" ht="15.75">
      <c r="B99" s="215" t="str">
        <f t="shared" si="78"/>
        <v>CFO</v>
      </c>
      <c r="C99" s="227">
        <f aca="true" t="shared" si="81" ref="C99:R118">+C70/$D$3</f>
        <v>55.329218106995874</v>
      </c>
      <c r="D99" s="227">
        <f>+D70/$D$3</f>
        <v>55.329218106995874</v>
      </c>
      <c r="E99" s="227">
        <f t="shared" si="81"/>
        <v>55.7037037037037</v>
      </c>
      <c r="F99" s="227">
        <f t="shared" si="81"/>
        <v>51.111111111111114</v>
      </c>
      <c r="G99" s="227">
        <f t="shared" si="81"/>
        <v>37.18518518518518</v>
      </c>
      <c r="H99" s="227">
        <f t="shared" si="81"/>
        <v>37.18518518518518</v>
      </c>
      <c r="I99" s="227">
        <f t="shared" si="81"/>
        <v>23.185185185185187</v>
      </c>
      <c r="J99" s="227">
        <f t="shared" si="81"/>
        <v>23.185185185185187</v>
      </c>
      <c r="K99" s="227">
        <f t="shared" si="81"/>
        <v>135.80246913580245</v>
      </c>
      <c r="L99" s="227">
        <f t="shared" si="81"/>
        <v>135.80246913580245</v>
      </c>
      <c r="M99" s="227">
        <f t="shared" si="81"/>
        <v>135.80246913580245</v>
      </c>
      <c r="N99" s="227">
        <f t="shared" si="81"/>
        <v>135.80246913580245</v>
      </c>
      <c r="O99" s="288">
        <f t="shared" si="81"/>
        <v>135.80246913580245</v>
      </c>
      <c r="P99" s="227">
        <f t="shared" si="81"/>
        <v>135.80246913580245</v>
      </c>
      <c r="Q99" s="227">
        <f t="shared" si="81"/>
        <v>135.80246913580245</v>
      </c>
      <c r="R99" s="227">
        <f t="shared" si="81"/>
        <v>135.80246913580245</v>
      </c>
      <c r="S99" s="227">
        <f t="shared" si="80"/>
        <v>135.80246913580245</v>
      </c>
      <c r="T99" s="227">
        <f t="shared" si="80"/>
        <v>135.80246913580245</v>
      </c>
      <c r="U99" s="227">
        <f t="shared" si="80"/>
        <v>135.80246913580245</v>
      </c>
      <c r="V99" s="227">
        <f t="shared" si="80"/>
        <v>135.80246913580245</v>
      </c>
      <c r="W99" s="227">
        <f t="shared" si="80"/>
        <v>135.80246913580245</v>
      </c>
      <c r="X99" s="227">
        <f t="shared" si="80"/>
        <v>135.80246913580245</v>
      </c>
      <c r="Y99" s="227">
        <f t="shared" si="80"/>
        <v>135.80246913580245</v>
      </c>
      <c r="Z99" s="228">
        <f t="shared" si="80"/>
        <v>135.80246913580245</v>
      </c>
      <c r="AA99" s="288">
        <f t="shared" si="80"/>
        <v>135.80246913580245</v>
      </c>
      <c r="AB99" s="227">
        <f t="shared" si="80"/>
        <v>135.80246913580245</v>
      </c>
      <c r="AC99" s="227">
        <f t="shared" si="80"/>
        <v>135.80246913580245</v>
      </c>
      <c r="AD99" s="227">
        <f t="shared" si="80"/>
        <v>135.80246913580245</v>
      </c>
      <c r="AE99" s="227">
        <f t="shared" si="80"/>
        <v>135.80246913580245</v>
      </c>
      <c r="AF99" s="227">
        <f t="shared" si="80"/>
        <v>135.80246913580245</v>
      </c>
      <c r="AG99" s="227">
        <f t="shared" si="80"/>
        <v>135.80246913580245</v>
      </c>
      <c r="AH99" s="227">
        <f t="shared" si="80"/>
        <v>135.80246913580245</v>
      </c>
      <c r="AI99" s="227">
        <f t="shared" si="80"/>
        <v>135.80246913580245</v>
      </c>
      <c r="AJ99" s="227">
        <f t="shared" si="80"/>
        <v>135.80246913580245</v>
      </c>
      <c r="AK99" s="227">
        <f t="shared" si="80"/>
        <v>135.80246913580245</v>
      </c>
      <c r="AL99" s="228">
        <f t="shared" si="80"/>
        <v>135.80246913580245</v>
      </c>
      <c r="AM99" s="288">
        <f t="shared" si="80"/>
        <v>148.14814814814815</v>
      </c>
      <c r="AN99" s="227">
        <f t="shared" si="80"/>
        <v>148.14814814814815</v>
      </c>
      <c r="AO99" s="227">
        <f t="shared" si="80"/>
        <v>148.14814814814815</v>
      </c>
      <c r="AP99" s="227">
        <f t="shared" si="80"/>
        <v>148.14814814814815</v>
      </c>
      <c r="AQ99" s="227">
        <f t="shared" si="80"/>
        <v>148.14814814814815</v>
      </c>
      <c r="AR99" s="227">
        <f t="shared" si="80"/>
        <v>148.14814814814815</v>
      </c>
      <c r="AS99" s="227">
        <f t="shared" si="80"/>
        <v>148.14814814814815</v>
      </c>
      <c r="AT99" s="227">
        <f t="shared" si="80"/>
        <v>148.14814814814815</v>
      </c>
      <c r="AU99" s="227">
        <f t="shared" si="80"/>
        <v>148.14814814814815</v>
      </c>
      <c r="AV99" s="227">
        <f t="shared" si="80"/>
        <v>148.14814814814815</v>
      </c>
      <c r="AW99" s="227">
        <f t="shared" si="80"/>
        <v>148.14814814814815</v>
      </c>
      <c r="AX99" s="228">
        <f t="shared" si="80"/>
        <v>148.14814814814815</v>
      </c>
      <c r="AY99" s="288">
        <f t="shared" si="80"/>
        <v>148.14814814814815</v>
      </c>
      <c r="AZ99" s="227">
        <f t="shared" si="80"/>
        <v>148.14814814814815</v>
      </c>
      <c r="BA99" s="227">
        <f t="shared" si="80"/>
        <v>148.14814814814815</v>
      </c>
      <c r="BB99" s="227">
        <f t="shared" si="80"/>
        <v>148.14814814814815</v>
      </c>
      <c r="BC99" s="227">
        <f t="shared" si="80"/>
        <v>148.14814814814815</v>
      </c>
      <c r="BD99" s="227">
        <f t="shared" si="80"/>
        <v>148.14814814814815</v>
      </c>
      <c r="BE99" s="227">
        <f t="shared" si="80"/>
        <v>148.14814814814815</v>
      </c>
      <c r="BF99" s="227">
        <f t="shared" si="80"/>
        <v>148.14814814814815</v>
      </c>
      <c r="BG99" s="227">
        <f t="shared" si="80"/>
        <v>148.14814814814815</v>
      </c>
      <c r="BH99" s="227">
        <f t="shared" si="80"/>
        <v>148.14814814814815</v>
      </c>
      <c r="BI99" s="227">
        <f t="shared" si="80"/>
        <v>148.14814814814815</v>
      </c>
      <c r="BJ99" s="228">
        <f t="shared" si="80"/>
        <v>148.14814814814815</v>
      </c>
    </row>
    <row r="100" spans="2:62" ht="15.75">
      <c r="B100" s="215" t="str">
        <f t="shared" si="78"/>
        <v>CTO</v>
      </c>
      <c r="C100" s="227">
        <f t="shared" si="81"/>
        <v>0</v>
      </c>
      <c r="D100" s="227">
        <f t="shared" si="80"/>
        <v>0</v>
      </c>
      <c r="E100" s="227">
        <f t="shared" si="80"/>
        <v>0</v>
      </c>
      <c r="F100" s="227">
        <f t="shared" si="80"/>
        <v>0</v>
      </c>
      <c r="G100" s="227">
        <f t="shared" si="80"/>
        <v>0</v>
      </c>
      <c r="H100" s="227">
        <f t="shared" si="80"/>
        <v>0</v>
      </c>
      <c r="I100" s="227">
        <f t="shared" si="80"/>
        <v>0</v>
      </c>
      <c r="J100" s="227">
        <f t="shared" si="80"/>
        <v>0</v>
      </c>
      <c r="K100" s="227">
        <f t="shared" si="80"/>
        <v>0</v>
      </c>
      <c r="L100" s="227">
        <f t="shared" si="80"/>
        <v>0</v>
      </c>
      <c r="M100" s="227">
        <f t="shared" si="80"/>
        <v>0</v>
      </c>
      <c r="N100" s="227">
        <f t="shared" si="80"/>
        <v>0</v>
      </c>
      <c r="O100" s="288">
        <f t="shared" si="80"/>
        <v>0</v>
      </c>
      <c r="P100" s="227">
        <f t="shared" si="80"/>
        <v>0</v>
      </c>
      <c r="Q100" s="227">
        <f t="shared" si="80"/>
        <v>0</v>
      </c>
      <c r="R100" s="227">
        <f t="shared" si="80"/>
        <v>0</v>
      </c>
      <c r="S100" s="227">
        <f t="shared" si="80"/>
        <v>0</v>
      </c>
      <c r="T100" s="227">
        <f t="shared" si="80"/>
        <v>0</v>
      </c>
      <c r="U100" s="227">
        <f t="shared" si="80"/>
        <v>0</v>
      </c>
      <c r="V100" s="227">
        <f t="shared" si="80"/>
        <v>0</v>
      </c>
      <c r="W100" s="227">
        <f t="shared" si="80"/>
        <v>0</v>
      </c>
      <c r="X100" s="227">
        <f t="shared" si="80"/>
        <v>0</v>
      </c>
      <c r="Y100" s="227">
        <f t="shared" si="80"/>
        <v>0</v>
      </c>
      <c r="Z100" s="228">
        <f t="shared" si="80"/>
        <v>0</v>
      </c>
      <c r="AA100" s="288">
        <f t="shared" si="80"/>
        <v>135.80246913580245</v>
      </c>
      <c r="AB100" s="227">
        <f t="shared" si="80"/>
        <v>135.80246913580245</v>
      </c>
      <c r="AC100" s="227">
        <f t="shared" si="80"/>
        <v>135.80246913580245</v>
      </c>
      <c r="AD100" s="227">
        <f t="shared" si="80"/>
        <v>135.80246913580245</v>
      </c>
      <c r="AE100" s="227">
        <f t="shared" si="80"/>
        <v>135.80246913580245</v>
      </c>
      <c r="AF100" s="227">
        <f t="shared" si="80"/>
        <v>135.80246913580245</v>
      </c>
      <c r="AG100" s="227">
        <f t="shared" si="80"/>
        <v>135.80246913580245</v>
      </c>
      <c r="AH100" s="227">
        <f t="shared" si="80"/>
        <v>135.80246913580245</v>
      </c>
      <c r="AI100" s="227">
        <f t="shared" si="80"/>
        <v>135.80246913580245</v>
      </c>
      <c r="AJ100" s="227">
        <f t="shared" si="80"/>
        <v>135.80246913580245</v>
      </c>
      <c r="AK100" s="227">
        <f t="shared" si="80"/>
        <v>135.80246913580245</v>
      </c>
      <c r="AL100" s="228">
        <f t="shared" si="80"/>
        <v>135.80246913580245</v>
      </c>
      <c r="AM100" s="288">
        <f t="shared" si="80"/>
        <v>148.14814814814815</v>
      </c>
      <c r="AN100" s="227">
        <f t="shared" si="80"/>
        <v>148.14814814814815</v>
      </c>
      <c r="AO100" s="227">
        <f t="shared" si="80"/>
        <v>148.14814814814815</v>
      </c>
      <c r="AP100" s="227">
        <f t="shared" si="80"/>
        <v>148.14814814814815</v>
      </c>
      <c r="AQ100" s="227">
        <f t="shared" si="80"/>
        <v>148.14814814814815</v>
      </c>
      <c r="AR100" s="227">
        <f t="shared" si="80"/>
        <v>148.14814814814815</v>
      </c>
      <c r="AS100" s="227">
        <f t="shared" si="80"/>
        <v>148.14814814814815</v>
      </c>
      <c r="AT100" s="227">
        <f t="shared" si="80"/>
        <v>148.14814814814815</v>
      </c>
      <c r="AU100" s="227">
        <f t="shared" si="80"/>
        <v>148.14814814814815</v>
      </c>
      <c r="AV100" s="227">
        <f t="shared" si="80"/>
        <v>148.14814814814815</v>
      </c>
      <c r="AW100" s="227">
        <f t="shared" si="80"/>
        <v>148.14814814814815</v>
      </c>
      <c r="AX100" s="228">
        <f t="shared" si="80"/>
        <v>148.14814814814815</v>
      </c>
      <c r="AY100" s="288">
        <f t="shared" si="80"/>
        <v>148.14814814814815</v>
      </c>
      <c r="AZ100" s="227">
        <f t="shared" si="80"/>
        <v>148.14814814814815</v>
      </c>
      <c r="BA100" s="227">
        <f t="shared" si="80"/>
        <v>148.14814814814815</v>
      </c>
      <c r="BB100" s="227">
        <f t="shared" si="80"/>
        <v>148.14814814814815</v>
      </c>
      <c r="BC100" s="227">
        <f t="shared" si="80"/>
        <v>148.14814814814815</v>
      </c>
      <c r="BD100" s="227">
        <f t="shared" si="80"/>
        <v>148.14814814814815</v>
      </c>
      <c r="BE100" s="227">
        <f t="shared" si="80"/>
        <v>148.14814814814815</v>
      </c>
      <c r="BF100" s="227">
        <f t="shared" si="80"/>
        <v>148.14814814814815</v>
      </c>
      <c r="BG100" s="227">
        <f t="shared" si="80"/>
        <v>148.14814814814815</v>
      </c>
      <c r="BH100" s="227">
        <f t="shared" si="80"/>
        <v>148.14814814814815</v>
      </c>
      <c r="BI100" s="227">
        <f t="shared" si="80"/>
        <v>148.14814814814815</v>
      </c>
      <c r="BJ100" s="228">
        <f t="shared" si="80"/>
        <v>148.14814814814815</v>
      </c>
    </row>
    <row r="101" spans="2:62" ht="15.75">
      <c r="B101" s="215" t="str">
        <f t="shared" si="78"/>
        <v>Sales Manager</v>
      </c>
      <c r="C101" s="227">
        <f t="shared" si="81"/>
        <v>0</v>
      </c>
      <c r="D101" s="227">
        <f t="shared" si="80"/>
        <v>0</v>
      </c>
      <c r="E101" s="227">
        <f t="shared" si="80"/>
        <v>0</v>
      </c>
      <c r="F101" s="227">
        <f t="shared" si="80"/>
        <v>0</v>
      </c>
      <c r="G101" s="227">
        <f t="shared" si="80"/>
        <v>0</v>
      </c>
      <c r="H101" s="227">
        <f t="shared" si="80"/>
        <v>0</v>
      </c>
      <c r="I101" s="227">
        <f t="shared" si="80"/>
        <v>0</v>
      </c>
      <c r="J101" s="227">
        <f t="shared" si="80"/>
        <v>0</v>
      </c>
      <c r="K101" s="227">
        <f t="shared" si="80"/>
        <v>0</v>
      </c>
      <c r="L101" s="227">
        <f t="shared" si="80"/>
        <v>0</v>
      </c>
      <c r="M101" s="227">
        <f t="shared" si="80"/>
        <v>0</v>
      </c>
      <c r="N101" s="227">
        <f t="shared" si="80"/>
        <v>0</v>
      </c>
      <c r="O101" s="288">
        <f t="shared" si="80"/>
        <v>0</v>
      </c>
      <c r="P101" s="227">
        <f t="shared" si="80"/>
        <v>0</v>
      </c>
      <c r="Q101" s="227">
        <f t="shared" si="80"/>
        <v>0</v>
      </c>
      <c r="R101" s="227">
        <f t="shared" si="80"/>
        <v>0</v>
      </c>
      <c r="S101" s="227">
        <f t="shared" si="80"/>
        <v>0</v>
      </c>
      <c r="T101" s="227">
        <f t="shared" si="80"/>
        <v>0</v>
      </c>
      <c r="U101" s="227">
        <f t="shared" si="80"/>
        <v>0</v>
      </c>
      <c r="V101" s="227">
        <f t="shared" si="80"/>
        <v>0</v>
      </c>
      <c r="W101" s="227">
        <f t="shared" si="80"/>
        <v>0</v>
      </c>
      <c r="X101" s="227">
        <f t="shared" si="80"/>
        <v>0</v>
      </c>
      <c r="Y101" s="227">
        <f t="shared" si="80"/>
        <v>0</v>
      </c>
      <c r="Z101" s="228">
        <f t="shared" si="80"/>
        <v>0</v>
      </c>
      <c r="AA101" s="288">
        <f t="shared" si="80"/>
        <v>135.80246913580245</v>
      </c>
      <c r="AB101" s="227">
        <f t="shared" si="80"/>
        <v>135.80246913580245</v>
      </c>
      <c r="AC101" s="227">
        <f t="shared" si="80"/>
        <v>135.80246913580245</v>
      </c>
      <c r="AD101" s="227">
        <f t="shared" si="80"/>
        <v>135.80246913580245</v>
      </c>
      <c r="AE101" s="227">
        <f t="shared" si="80"/>
        <v>135.80246913580245</v>
      </c>
      <c r="AF101" s="227">
        <f t="shared" si="80"/>
        <v>135.80246913580245</v>
      </c>
      <c r="AG101" s="227">
        <f t="shared" si="80"/>
        <v>135.80246913580245</v>
      </c>
      <c r="AH101" s="227">
        <f t="shared" si="80"/>
        <v>135.80246913580245</v>
      </c>
      <c r="AI101" s="227">
        <f t="shared" si="80"/>
        <v>135.80246913580245</v>
      </c>
      <c r="AJ101" s="227">
        <f t="shared" si="80"/>
        <v>135.80246913580245</v>
      </c>
      <c r="AK101" s="227">
        <f t="shared" si="80"/>
        <v>135.80246913580245</v>
      </c>
      <c r="AL101" s="228">
        <f t="shared" si="80"/>
        <v>135.80246913580245</v>
      </c>
      <c r="AM101" s="288">
        <f t="shared" si="80"/>
        <v>135.80246913580245</v>
      </c>
      <c r="AN101" s="227">
        <f t="shared" si="80"/>
        <v>135.80246913580245</v>
      </c>
      <c r="AO101" s="227">
        <f t="shared" si="80"/>
        <v>135.80246913580245</v>
      </c>
      <c r="AP101" s="227">
        <f t="shared" si="80"/>
        <v>135.80246913580245</v>
      </c>
      <c r="AQ101" s="227">
        <f t="shared" si="80"/>
        <v>135.80246913580245</v>
      </c>
      <c r="AR101" s="227">
        <f t="shared" si="80"/>
        <v>135.80246913580245</v>
      </c>
      <c r="AS101" s="227">
        <f t="shared" si="80"/>
        <v>135.80246913580245</v>
      </c>
      <c r="AT101" s="227">
        <f t="shared" si="80"/>
        <v>135.80246913580245</v>
      </c>
      <c r="AU101" s="227">
        <f t="shared" si="80"/>
        <v>135.80246913580245</v>
      </c>
      <c r="AV101" s="227">
        <f t="shared" si="80"/>
        <v>135.80246913580245</v>
      </c>
      <c r="AW101" s="227">
        <f t="shared" si="80"/>
        <v>135.80246913580245</v>
      </c>
      <c r="AX101" s="228">
        <f t="shared" si="80"/>
        <v>135.80246913580245</v>
      </c>
      <c r="AY101" s="288">
        <f t="shared" si="80"/>
        <v>135.80246913580245</v>
      </c>
      <c r="AZ101" s="227">
        <f t="shared" si="80"/>
        <v>135.80246913580245</v>
      </c>
      <c r="BA101" s="227">
        <f t="shared" si="80"/>
        <v>135.80246913580245</v>
      </c>
      <c r="BB101" s="227">
        <f t="shared" si="80"/>
        <v>135.80246913580245</v>
      </c>
      <c r="BC101" s="227">
        <f t="shared" si="80"/>
        <v>135.80246913580245</v>
      </c>
      <c r="BD101" s="227">
        <f t="shared" si="80"/>
        <v>135.80246913580245</v>
      </c>
      <c r="BE101" s="227">
        <f t="shared" si="80"/>
        <v>135.80246913580245</v>
      </c>
      <c r="BF101" s="227">
        <f t="shared" si="80"/>
        <v>135.80246913580245</v>
      </c>
      <c r="BG101" s="227">
        <f t="shared" si="80"/>
        <v>135.80246913580245</v>
      </c>
      <c r="BH101" s="227">
        <f t="shared" si="80"/>
        <v>135.80246913580245</v>
      </c>
      <c r="BI101" s="227">
        <f t="shared" si="80"/>
        <v>135.80246913580245</v>
      </c>
      <c r="BJ101" s="228">
        <f t="shared" si="80"/>
        <v>135.80246913580245</v>
      </c>
    </row>
    <row r="102" spans="2:62" ht="15.75">
      <c r="B102" s="215" t="str">
        <f t="shared" si="78"/>
        <v>Business Developer</v>
      </c>
      <c r="C102" s="227">
        <f t="shared" si="81"/>
        <v>0</v>
      </c>
      <c r="D102" s="227">
        <f t="shared" si="80"/>
        <v>0</v>
      </c>
      <c r="E102" s="227">
        <f t="shared" si="80"/>
        <v>0</v>
      </c>
      <c r="F102" s="227">
        <f t="shared" si="80"/>
        <v>0</v>
      </c>
      <c r="G102" s="227">
        <f t="shared" si="80"/>
        <v>0</v>
      </c>
      <c r="H102" s="227">
        <f t="shared" si="80"/>
        <v>0</v>
      </c>
      <c r="I102" s="227">
        <f t="shared" si="80"/>
        <v>0</v>
      </c>
      <c r="J102" s="227">
        <f t="shared" si="80"/>
        <v>0</v>
      </c>
      <c r="K102" s="227">
        <f t="shared" si="80"/>
        <v>0</v>
      </c>
      <c r="L102" s="227">
        <f t="shared" si="80"/>
        <v>0</v>
      </c>
      <c r="M102" s="227">
        <f t="shared" si="80"/>
        <v>0</v>
      </c>
      <c r="N102" s="227">
        <f t="shared" si="80"/>
        <v>0</v>
      </c>
      <c r="O102" s="288">
        <f t="shared" si="80"/>
        <v>135.80246913580245</v>
      </c>
      <c r="P102" s="227">
        <f t="shared" si="80"/>
        <v>135.80246913580245</v>
      </c>
      <c r="Q102" s="227">
        <f t="shared" si="80"/>
        <v>135.80246913580245</v>
      </c>
      <c r="R102" s="227">
        <f t="shared" si="80"/>
        <v>135.80246913580245</v>
      </c>
      <c r="S102" s="227">
        <f t="shared" si="80"/>
        <v>135.80246913580245</v>
      </c>
      <c r="T102" s="227">
        <f t="shared" si="80"/>
        <v>135.80246913580245</v>
      </c>
      <c r="U102" s="227">
        <f t="shared" si="80"/>
        <v>135.80246913580245</v>
      </c>
      <c r="V102" s="227">
        <f t="shared" si="80"/>
        <v>135.80246913580245</v>
      </c>
      <c r="W102" s="227">
        <f t="shared" si="80"/>
        <v>135.80246913580245</v>
      </c>
      <c r="X102" s="227">
        <f t="shared" si="80"/>
        <v>135.80246913580245</v>
      </c>
      <c r="Y102" s="227">
        <f t="shared" si="80"/>
        <v>135.80246913580245</v>
      </c>
      <c r="Z102" s="228">
        <f t="shared" si="80"/>
        <v>135.80246913580245</v>
      </c>
      <c r="AA102" s="288">
        <f t="shared" si="80"/>
        <v>135.80246913580245</v>
      </c>
      <c r="AB102" s="227">
        <f t="shared" si="80"/>
        <v>135.80246913580245</v>
      </c>
      <c r="AC102" s="227">
        <f t="shared" si="80"/>
        <v>135.80246913580245</v>
      </c>
      <c r="AD102" s="227">
        <f t="shared" si="80"/>
        <v>135.80246913580245</v>
      </c>
      <c r="AE102" s="227">
        <f t="shared" si="80"/>
        <v>135.80246913580245</v>
      </c>
      <c r="AF102" s="227">
        <f t="shared" si="80"/>
        <v>135.80246913580245</v>
      </c>
      <c r="AG102" s="227">
        <f t="shared" si="80"/>
        <v>135.80246913580245</v>
      </c>
      <c r="AH102" s="227">
        <f t="shared" si="80"/>
        <v>135.80246913580245</v>
      </c>
      <c r="AI102" s="227">
        <f t="shared" si="80"/>
        <v>135.80246913580245</v>
      </c>
      <c r="AJ102" s="227">
        <f t="shared" si="80"/>
        <v>135.80246913580245</v>
      </c>
      <c r="AK102" s="227">
        <f t="shared" si="80"/>
        <v>135.80246913580245</v>
      </c>
      <c r="AL102" s="228">
        <f aca="true" t="shared" si="82" ref="D102:BJ106">+AL73/$D$3</f>
        <v>135.80246913580245</v>
      </c>
      <c r="AM102" s="288">
        <f t="shared" si="82"/>
        <v>135.80246913580245</v>
      </c>
      <c r="AN102" s="227">
        <f t="shared" si="82"/>
        <v>135.80246913580245</v>
      </c>
      <c r="AO102" s="227">
        <f t="shared" si="82"/>
        <v>135.80246913580245</v>
      </c>
      <c r="AP102" s="227">
        <f t="shared" si="82"/>
        <v>135.80246913580245</v>
      </c>
      <c r="AQ102" s="227">
        <f t="shared" si="82"/>
        <v>135.80246913580245</v>
      </c>
      <c r="AR102" s="227">
        <f t="shared" si="82"/>
        <v>135.80246913580245</v>
      </c>
      <c r="AS102" s="227">
        <f t="shared" si="82"/>
        <v>135.80246913580245</v>
      </c>
      <c r="AT102" s="227">
        <f t="shared" si="82"/>
        <v>135.80246913580245</v>
      </c>
      <c r="AU102" s="227">
        <f t="shared" si="82"/>
        <v>135.80246913580245</v>
      </c>
      <c r="AV102" s="227">
        <f t="shared" si="82"/>
        <v>135.80246913580245</v>
      </c>
      <c r="AW102" s="227">
        <f t="shared" si="82"/>
        <v>135.80246913580245</v>
      </c>
      <c r="AX102" s="228">
        <f t="shared" si="82"/>
        <v>135.80246913580245</v>
      </c>
      <c r="AY102" s="288">
        <f t="shared" si="82"/>
        <v>135.80246913580245</v>
      </c>
      <c r="AZ102" s="227">
        <f t="shared" si="82"/>
        <v>135.80246913580245</v>
      </c>
      <c r="BA102" s="227">
        <f t="shared" si="82"/>
        <v>135.80246913580245</v>
      </c>
      <c r="BB102" s="227">
        <f t="shared" si="82"/>
        <v>135.80246913580245</v>
      </c>
      <c r="BC102" s="227">
        <f t="shared" si="82"/>
        <v>135.80246913580245</v>
      </c>
      <c r="BD102" s="227">
        <f t="shared" si="82"/>
        <v>135.80246913580245</v>
      </c>
      <c r="BE102" s="227">
        <f t="shared" si="82"/>
        <v>135.80246913580245</v>
      </c>
      <c r="BF102" s="227">
        <f t="shared" si="82"/>
        <v>135.80246913580245</v>
      </c>
      <c r="BG102" s="227">
        <f t="shared" si="82"/>
        <v>135.80246913580245</v>
      </c>
      <c r="BH102" s="227">
        <f t="shared" si="82"/>
        <v>135.80246913580245</v>
      </c>
      <c r="BI102" s="227">
        <f t="shared" si="82"/>
        <v>135.80246913580245</v>
      </c>
      <c r="BJ102" s="228">
        <f t="shared" si="82"/>
        <v>135.80246913580245</v>
      </c>
    </row>
    <row r="103" spans="2:62" ht="15.75">
      <c r="B103" s="215" t="str">
        <f t="shared" si="78"/>
        <v>Account Manager</v>
      </c>
      <c r="C103" s="227">
        <f t="shared" si="81"/>
        <v>0</v>
      </c>
      <c r="D103" s="227">
        <f t="shared" si="82"/>
        <v>0</v>
      </c>
      <c r="E103" s="227">
        <f t="shared" si="82"/>
        <v>0</v>
      </c>
      <c r="F103" s="227">
        <f t="shared" si="82"/>
        <v>0</v>
      </c>
      <c r="G103" s="227">
        <f t="shared" si="82"/>
        <v>0</v>
      </c>
      <c r="H103" s="227">
        <f t="shared" si="82"/>
        <v>0</v>
      </c>
      <c r="I103" s="227">
        <f t="shared" si="82"/>
        <v>0</v>
      </c>
      <c r="J103" s="227">
        <f t="shared" si="82"/>
        <v>0</v>
      </c>
      <c r="K103" s="227">
        <f t="shared" si="82"/>
        <v>0</v>
      </c>
      <c r="L103" s="227">
        <f t="shared" si="82"/>
        <v>123.4567901234568</v>
      </c>
      <c r="M103" s="227">
        <f t="shared" si="82"/>
        <v>123.4567901234568</v>
      </c>
      <c r="N103" s="227">
        <f t="shared" si="82"/>
        <v>123.4567901234568</v>
      </c>
      <c r="O103" s="288">
        <f t="shared" si="82"/>
        <v>135.80246913580245</v>
      </c>
      <c r="P103" s="227">
        <f t="shared" si="82"/>
        <v>135.80246913580245</v>
      </c>
      <c r="Q103" s="227">
        <f t="shared" si="82"/>
        <v>135.80246913580245</v>
      </c>
      <c r="R103" s="227">
        <f t="shared" si="82"/>
        <v>135.80246913580245</v>
      </c>
      <c r="S103" s="227">
        <f t="shared" si="82"/>
        <v>135.80246913580245</v>
      </c>
      <c r="T103" s="227">
        <f t="shared" si="82"/>
        <v>135.80246913580245</v>
      </c>
      <c r="U103" s="227">
        <f t="shared" si="82"/>
        <v>135.80246913580245</v>
      </c>
      <c r="V103" s="227">
        <f t="shared" si="82"/>
        <v>135.80246913580245</v>
      </c>
      <c r="W103" s="227">
        <f t="shared" si="82"/>
        <v>135.80246913580245</v>
      </c>
      <c r="X103" s="227">
        <f t="shared" si="82"/>
        <v>135.80246913580245</v>
      </c>
      <c r="Y103" s="227">
        <f t="shared" si="82"/>
        <v>135.80246913580245</v>
      </c>
      <c r="Z103" s="228">
        <f t="shared" si="82"/>
        <v>135.80246913580245</v>
      </c>
      <c r="AA103" s="288">
        <f t="shared" si="82"/>
        <v>271.6049382716049</v>
      </c>
      <c r="AB103" s="227">
        <f t="shared" si="82"/>
        <v>271.6049382716049</v>
      </c>
      <c r="AC103" s="227">
        <f t="shared" si="82"/>
        <v>271.6049382716049</v>
      </c>
      <c r="AD103" s="227">
        <f t="shared" si="82"/>
        <v>271.6049382716049</v>
      </c>
      <c r="AE103" s="227">
        <f t="shared" si="82"/>
        <v>271.6049382716049</v>
      </c>
      <c r="AF103" s="227">
        <f t="shared" si="82"/>
        <v>271.6049382716049</v>
      </c>
      <c r="AG103" s="227">
        <f t="shared" si="82"/>
        <v>271.6049382716049</v>
      </c>
      <c r="AH103" s="227">
        <f t="shared" si="82"/>
        <v>271.6049382716049</v>
      </c>
      <c r="AI103" s="227">
        <f t="shared" si="82"/>
        <v>271.6049382716049</v>
      </c>
      <c r="AJ103" s="227">
        <f t="shared" si="82"/>
        <v>271.6049382716049</v>
      </c>
      <c r="AK103" s="227">
        <f t="shared" si="82"/>
        <v>271.6049382716049</v>
      </c>
      <c r="AL103" s="228">
        <f t="shared" si="82"/>
        <v>271.6049382716049</v>
      </c>
      <c r="AM103" s="288">
        <f t="shared" si="82"/>
        <v>271.6049382716049</v>
      </c>
      <c r="AN103" s="227">
        <f t="shared" si="82"/>
        <v>271.6049382716049</v>
      </c>
      <c r="AO103" s="227">
        <f t="shared" si="82"/>
        <v>271.6049382716049</v>
      </c>
      <c r="AP103" s="227">
        <f t="shared" si="82"/>
        <v>271.6049382716049</v>
      </c>
      <c r="AQ103" s="227">
        <f t="shared" si="82"/>
        <v>271.6049382716049</v>
      </c>
      <c r="AR103" s="227">
        <f t="shared" si="82"/>
        <v>271.6049382716049</v>
      </c>
      <c r="AS103" s="227">
        <f t="shared" si="82"/>
        <v>271.6049382716049</v>
      </c>
      <c r="AT103" s="227">
        <f t="shared" si="82"/>
        <v>271.6049382716049</v>
      </c>
      <c r="AU103" s="227">
        <f t="shared" si="82"/>
        <v>271.6049382716049</v>
      </c>
      <c r="AV103" s="227">
        <f t="shared" si="82"/>
        <v>271.6049382716049</v>
      </c>
      <c r="AW103" s="227">
        <f t="shared" si="82"/>
        <v>271.6049382716049</v>
      </c>
      <c r="AX103" s="228">
        <f t="shared" si="82"/>
        <v>271.6049382716049</v>
      </c>
      <c r="AY103" s="288">
        <f t="shared" si="82"/>
        <v>407.4074074074074</v>
      </c>
      <c r="AZ103" s="227">
        <f t="shared" si="82"/>
        <v>407.4074074074074</v>
      </c>
      <c r="BA103" s="227">
        <f t="shared" si="82"/>
        <v>407.4074074074074</v>
      </c>
      <c r="BB103" s="227">
        <f t="shared" si="82"/>
        <v>407.4074074074074</v>
      </c>
      <c r="BC103" s="227">
        <f t="shared" si="82"/>
        <v>407.4074074074074</v>
      </c>
      <c r="BD103" s="227">
        <f t="shared" si="82"/>
        <v>407.4074074074074</v>
      </c>
      <c r="BE103" s="227">
        <f t="shared" si="82"/>
        <v>407.4074074074074</v>
      </c>
      <c r="BF103" s="227">
        <f t="shared" si="82"/>
        <v>407.4074074074074</v>
      </c>
      <c r="BG103" s="227">
        <f t="shared" si="82"/>
        <v>407.4074074074074</v>
      </c>
      <c r="BH103" s="227">
        <f t="shared" si="82"/>
        <v>407.4074074074074</v>
      </c>
      <c r="BI103" s="227">
        <f t="shared" si="82"/>
        <v>407.4074074074074</v>
      </c>
      <c r="BJ103" s="228">
        <f t="shared" si="82"/>
        <v>407.4074074074074</v>
      </c>
    </row>
    <row r="104" spans="2:62" ht="15.75">
      <c r="B104" s="215" t="str">
        <f t="shared" si="78"/>
        <v>CMO</v>
      </c>
      <c r="C104" s="227">
        <f t="shared" si="81"/>
        <v>0</v>
      </c>
      <c r="D104" s="227">
        <f t="shared" si="82"/>
        <v>0</v>
      </c>
      <c r="E104" s="227">
        <f t="shared" si="82"/>
        <v>0</v>
      </c>
      <c r="F104" s="227">
        <f t="shared" si="82"/>
        <v>0</v>
      </c>
      <c r="G104" s="227">
        <f t="shared" si="82"/>
        <v>0</v>
      </c>
      <c r="H104" s="227">
        <f t="shared" si="82"/>
        <v>0</v>
      </c>
      <c r="I104" s="227">
        <f t="shared" si="82"/>
        <v>0</v>
      </c>
      <c r="J104" s="227">
        <f t="shared" si="82"/>
        <v>0</v>
      </c>
      <c r="K104" s="227">
        <f t="shared" si="82"/>
        <v>0</v>
      </c>
      <c r="L104" s="227">
        <f t="shared" si="82"/>
        <v>0</v>
      </c>
      <c r="M104" s="227">
        <f t="shared" si="82"/>
        <v>0</v>
      </c>
      <c r="N104" s="227">
        <f t="shared" si="82"/>
        <v>0</v>
      </c>
      <c r="O104" s="288">
        <f>+O75/$D$3</f>
        <v>123.4567901234568</v>
      </c>
      <c r="P104" s="227">
        <f t="shared" si="82"/>
        <v>123.4567901234568</v>
      </c>
      <c r="Q104" s="227">
        <f t="shared" si="82"/>
        <v>123.4567901234568</v>
      </c>
      <c r="R104" s="227">
        <f t="shared" si="82"/>
        <v>123.4567901234568</v>
      </c>
      <c r="S104" s="227">
        <f t="shared" si="82"/>
        <v>123.4567901234568</v>
      </c>
      <c r="T104" s="227">
        <f t="shared" si="82"/>
        <v>123.4567901234568</v>
      </c>
      <c r="U104" s="227">
        <f t="shared" si="82"/>
        <v>123.4567901234568</v>
      </c>
      <c r="V104" s="227">
        <f t="shared" si="82"/>
        <v>123.4567901234568</v>
      </c>
      <c r="W104" s="227">
        <f t="shared" si="82"/>
        <v>123.4567901234568</v>
      </c>
      <c r="X104" s="227">
        <f t="shared" si="82"/>
        <v>123.4567901234568</v>
      </c>
      <c r="Y104" s="227">
        <f t="shared" si="82"/>
        <v>123.4567901234568</v>
      </c>
      <c r="Z104" s="228">
        <f t="shared" si="82"/>
        <v>123.4567901234568</v>
      </c>
      <c r="AA104" s="288">
        <f t="shared" si="82"/>
        <v>135.80246913580245</v>
      </c>
      <c r="AB104" s="227">
        <f t="shared" si="82"/>
        <v>135.80246913580245</v>
      </c>
      <c r="AC104" s="227">
        <f t="shared" si="82"/>
        <v>135.80246913580245</v>
      </c>
      <c r="AD104" s="227">
        <f t="shared" si="82"/>
        <v>135.80246913580245</v>
      </c>
      <c r="AE104" s="227">
        <f t="shared" si="82"/>
        <v>135.80246913580245</v>
      </c>
      <c r="AF104" s="227">
        <f t="shared" si="82"/>
        <v>135.80246913580245</v>
      </c>
      <c r="AG104" s="227">
        <f t="shared" si="82"/>
        <v>135.80246913580245</v>
      </c>
      <c r="AH104" s="227">
        <f t="shared" si="82"/>
        <v>135.80246913580245</v>
      </c>
      <c r="AI104" s="227">
        <f t="shared" si="82"/>
        <v>135.80246913580245</v>
      </c>
      <c r="AJ104" s="227">
        <f t="shared" si="82"/>
        <v>135.80246913580245</v>
      </c>
      <c r="AK104" s="227">
        <f t="shared" si="82"/>
        <v>135.80246913580245</v>
      </c>
      <c r="AL104" s="228">
        <f t="shared" si="82"/>
        <v>135.80246913580245</v>
      </c>
      <c r="AM104" s="288">
        <f t="shared" si="82"/>
        <v>135.80246913580245</v>
      </c>
      <c r="AN104" s="227">
        <f t="shared" si="82"/>
        <v>135.80246913580245</v>
      </c>
      <c r="AO104" s="227">
        <f t="shared" si="82"/>
        <v>135.80246913580245</v>
      </c>
      <c r="AP104" s="227">
        <f t="shared" si="82"/>
        <v>135.80246913580245</v>
      </c>
      <c r="AQ104" s="227">
        <f t="shared" si="82"/>
        <v>135.80246913580245</v>
      </c>
      <c r="AR104" s="227">
        <f t="shared" si="82"/>
        <v>135.80246913580245</v>
      </c>
      <c r="AS104" s="227">
        <f t="shared" si="82"/>
        <v>135.80246913580245</v>
      </c>
      <c r="AT104" s="227">
        <f t="shared" si="82"/>
        <v>135.80246913580245</v>
      </c>
      <c r="AU104" s="227">
        <f t="shared" si="82"/>
        <v>135.80246913580245</v>
      </c>
      <c r="AV104" s="227">
        <f t="shared" si="82"/>
        <v>135.80246913580245</v>
      </c>
      <c r="AW104" s="227">
        <f t="shared" si="82"/>
        <v>135.80246913580245</v>
      </c>
      <c r="AX104" s="228">
        <f t="shared" si="82"/>
        <v>135.80246913580245</v>
      </c>
      <c r="AY104" s="288">
        <f t="shared" si="82"/>
        <v>135.80246913580245</v>
      </c>
      <c r="AZ104" s="227">
        <f t="shared" si="82"/>
        <v>135.80246913580245</v>
      </c>
      <c r="BA104" s="227">
        <f t="shared" si="82"/>
        <v>135.80246913580245</v>
      </c>
      <c r="BB104" s="227">
        <f t="shared" si="82"/>
        <v>135.80246913580245</v>
      </c>
      <c r="BC104" s="227">
        <f t="shared" si="82"/>
        <v>135.80246913580245</v>
      </c>
      <c r="BD104" s="227">
        <f t="shared" si="82"/>
        <v>135.80246913580245</v>
      </c>
      <c r="BE104" s="227">
        <f t="shared" si="82"/>
        <v>135.80246913580245</v>
      </c>
      <c r="BF104" s="227">
        <f t="shared" si="82"/>
        <v>135.80246913580245</v>
      </c>
      <c r="BG104" s="227">
        <f t="shared" si="82"/>
        <v>135.80246913580245</v>
      </c>
      <c r="BH104" s="227">
        <f t="shared" si="82"/>
        <v>135.80246913580245</v>
      </c>
      <c r="BI104" s="227">
        <f t="shared" si="82"/>
        <v>135.80246913580245</v>
      </c>
      <c r="BJ104" s="228">
        <f t="shared" si="82"/>
        <v>135.80246913580245</v>
      </c>
    </row>
    <row r="105" spans="2:62" ht="15.75">
      <c r="B105" s="215" t="str">
        <f t="shared" si="78"/>
        <v>Marketing Specialist</v>
      </c>
      <c r="C105" s="227">
        <f t="shared" si="81"/>
        <v>0</v>
      </c>
      <c r="D105" s="227">
        <f t="shared" si="82"/>
        <v>0</v>
      </c>
      <c r="E105" s="227">
        <f t="shared" si="82"/>
        <v>0</v>
      </c>
      <c r="F105" s="227">
        <f t="shared" si="82"/>
        <v>0</v>
      </c>
      <c r="G105" s="227">
        <f t="shared" si="82"/>
        <v>0</v>
      </c>
      <c r="H105" s="227">
        <f t="shared" si="82"/>
        <v>0</v>
      </c>
      <c r="I105" s="227">
        <f t="shared" si="82"/>
        <v>0</v>
      </c>
      <c r="J105" s="227">
        <f t="shared" si="82"/>
        <v>0</v>
      </c>
      <c r="K105" s="227">
        <f t="shared" si="82"/>
        <v>0</v>
      </c>
      <c r="L105" s="227">
        <f t="shared" si="82"/>
        <v>0</v>
      </c>
      <c r="M105" s="227">
        <f t="shared" si="82"/>
        <v>0</v>
      </c>
      <c r="N105" s="227">
        <f t="shared" si="82"/>
        <v>0</v>
      </c>
      <c r="O105" s="288">
        <f t="shared" si="82"/>
        <v>0</v>
      </c>
      <c r="P105" s="227">
        <f t="shared" si="82"/>
        <v>0</v>
      </c>
      <c r="Q105" s="227">
        <f t="shared" si="82"/>
        <v>0</v>
      </c>
      <c r="R105" s="227">
        <f t="shared" si="82"/>
        <v>0</v>
      </c>
      <c r="S105" s="227">
        <f t="shared" si="82"/>
        <v>0</v>
      </c>
      <c r="T105" s="227">
        <f t="shared" si="82"/>
        <v>0</v>
      </c>
      <c r="U105" s="227">
        <f t="shared" si="82"/>
        <v>0</v>
      </c>
      <c r="V105" s="227">
        <f t="shared" si="82"/>
        <v>0</v>
      </c>
      <c r="W105" s="227">
        <f t="shared" si="82"/>
        <v>0</v>
      </c>
      <c r="X105" s="227">
        <f t="shared" si="82"/>
        <v>0</v>
      </c>
      <c r="Y105" s="227">
        <f t="shared" si="82"/>
        <v>0</v>
      </c>
      <c r="Z105" s="228">
        <f t="shared" si="82"/>
        <v>0</v>
      </c>
      <c r="AA105" s="288">
        <f t="shared" si="82"/>
        <v>123.4567901234568</v>
      </c>
      <c r="AB105" s="227">
        <f t="shared" si="82"/>
        <v>123.4567901234568</v>
      </c>
      <c r="AC105" s="227">
        <f t="shared" si="82"/>
        <v>123.4567901234568</v>
      </c>
      <c r="AD105" s="227">
        <f t="shared" si="82"/>
        <v>123.4567901234568</v>
      </c>
      <c r="AE105" s="227">
        <f t="shared" si="82"/>
        <v>123.4567901234568</v>
      </c>
      <c r="AF105" s="227">
        <f t="shared" si="82"/>
        <v>123.4567901234568</v>
      </c>
      <c r="AG105" s="227">
        <f t="shared" si="82"/>
        <v>123.4567901234568</v>
      </c>
      <c r="AH105" s="227">
        <f t="shared" si="82"/>
        <v>123.4567901234568</v>
      </c>
      <c r="AI105" s="227">
        <f t="shared" si="82"/>
        <v>123.4567901234568</v>
      </c>
      <c r="AJ105" s="227">
        <f t="shared" si="82"/>
        <v>123.4567901234568</v>
      </c>
      <c r="AK105" s="227">
        <f t="shared" si="82"/>
        <v>123.4567901234568</v>
      </c>
      <c r="AL105" s="228">
        <f t="shared" si="82"/>
        <v>123.4567901234568</v>
      </c>
      <c r="AM105" s="288">
        <f t="shared" si="82"/>
        <v>123.4567901234568</v>
      </c>
      <c r="AN105" s="227">
        <f t="shared" si="82"/>
        <v>123.4567901234568</v>
      </c>
      <c r="AO105" s="227">
        <f t="shared" si="82"/>
        <v>123.4567901234568</v>
      </c>
      <c r="AP105" s="227">
        <f t="shared" si="82"/>
        <v>123.4567901234568</v>
      </c>
      <c r="AQ105" s="227">
        <f t="shared" si="82"/>
        <v>123.4567901234568</v>
      </c>
      <c r="AR105" s="227">
        <f t="shared" si="82"/>
        <v>123.4567901234568</v>
      </c>
      <c r="AS105" s="227">
        <f t="shared" si="82"/>
        <v>123.4567901234568</v>
      </c>
      <c r="AT105" s="227">
        <f t="shared" si="82"/>
        <v>123.4567901234568</v>
      </c>
      <c r="AU105" s="227">
        <f t="shared" si="82"/>
        <v>123.4567901234568</v>
      </c>
      <c r="AV105" s="227">
        <f t="shared" si="82"/>
        <v>123.4567901234568</v>
      </c>
      <c r="AW105" s="227">
        <f t="shared" si="82"/>
        <v>123.4567901234568</v>
      </c>
      <c r="AX105" s="228">
        <f t="shared" si="82"/>
        <v>123.4567901234568</v>
      </c>
      <c r="AY105" s="288">
        <f t="shared" si="82"/>
        <v>246.9135802469136</v>
      </c>
      <c r="AZ105" s="227">
        <f t="shared" si="82"/>
        <v>246.9135802469136</v>
      </c>
      <c r="BA105" s="227">
        <f t="shared" si="82"/>
        <v>246.9135802469136</v>
      </c>
      <c r="BB105" s="227">
        <f t="shared" si="82"/>
        <v>246.9135802469136</v>
      </c>
      <c r="BC105" s="227">
        <f t="shared" si="82"/>
        <v>246.9135802469136</v>
      </c>
      <c r="BD105" s="227">
        <f t="shared" si="82"/>
        <v>246.9135802469136</v>
      </c>
      <c r="BE105" s="227">
        <f t="shared" si="82"/>
        <v>246.9135802469136</v>
      </c>
      <c r="BF105" s="227">
        <f t="shared" si="82"/>
        <v>246.9135802469136</v>
      </c>
      <c r="BG105" s="227">
        <f t="shared" si="82"/>
        <v>246.9135802469136</v>
      </c>
      <c r="BH105" s="227">
        <f t="shared" si="82"/>
        <v>246.9135802469136</v>
      </c>
      <c r="BI105" s="227">
        <f t="shared" si="82"/>
        <v>246.9135802469136</v>
      </c>
      <c r="BJ105" s="228">
        <f t="shared" si="82"/>
        <v>246.9135802469136</v>
      </c>
    </row>
    <row r="106" spans="2:62" ht="15.75">
      <c r="B106" s="215" t="str">
        <f t="shared" si="78"/>
        <v>Junior Developer</v>
      </c>
      <c r="C106" s="227">
        <f t="shared" si="81"/>
        <v>0</v>
      </c>
      <c r="D106" s="227">
        <f t="shared" si="82"/>
        <v>0</v>
      </c>
      <c r="E106" s="227">
        <f t="shared" si="82"/>
        <v>0</v>
      </c>
      <c r="F106" s="227">
        <f t="shared" si="82"/>
        <v>0</v>
      </c>
      <c r="G106" s="227">
        <f t="shared" si="82"/>
        <v>0</v>
      </c>
      <c r="H106" s="227">
        <f t="shared" si="82"/>
        <v>0</v>
      </c>
      <c r="I106" s="227">
        <f t="shared" si="82"/>
        <v>0</v>
      </c>
      <c r="J106" s="227">
        <f t="shared" si="82"/>
        <v>0</v>
      </c>
      <c r="K106" s="227">
        <f t="shared" si="82"/>
        <v>0</v>
      </c>
      <c r="L106" s="227">
        <f t="shared" si="82"/>
        <v>0</v>
      </c>
      <c r="M106" s="227">
        <f t="shared" si="82"/>
        <v>0</v>
      </c>
      <c r="N106" s="227">
        <f t="shared" si="82"/>
        <v>0</v>
      </c>
      <c r="O106" s="288">
        <f t="shared" si="82"/>
        <v>123.4567901234568</v>
      </c>
      <c r="P106" s="227">
        <f t="shared" si="82"/>
        <v>123.4567901234568</v>
      </c>
      <c r="Q106" s="227">
        <f t="shared" si="82"/>
        <v>123.4567901234568</v>
      </c>
      <c r="R106" s="227">
        <f t="shared" si="82"/>
        <v>123.4567901234568</v>
      </c>
      <c r="S106" s="227">
        <f t="shared" si="82"/>
        <v>123.4567901234568</v>
      </c>
      <c r="T106" s="227">
        <f t="shared" si="82"/>
        <v>123.4567901234568</v>
      </c>
      <c r="U106" s="227">
        <f t="shared" si="82"/>
        <v>123.4567901234568</v>
      </c>
      <c r="V106" s="227">
        <f t="shared" si="82"/>
        <v>123.4567901234568</v>
      </c>
      <c r="W106" s="227">
        <f t="shared" si="82"/>
        <v>123.4567901234568</v>
      </c>
      <c r="X106" s="227">
        <f t="shared" si="82"/>
        <v>123.4567901234568</v>
      </c>
      <c r="Y106" s="227">
        <f t="shared" si="82"/>
        <v>123.4567901234568</v>
      </c>
      <c r="Z106" s="228">
        <f t="shared" si="82"/>
        <v>123.4567901234568</v>
      </c>
      <c r="AA106" s="288">
        <f t="shared" si="82"/>
        <v>246.9135802469136</v>
      </c>
      <c r="AB106" s="227">
        <f t="shared" si="82"/>
        <v>246.9135802469136</v>
      </c>
      <c r="AC106" s="227">
        <f t="shared" si="82"/>
        <v>246.9135802469136</v>
      </c>
      <c r="AD106" s="227">
        <f t="shared" si="82"/>
        <v>246.9135802469136</v>
      </c>
      <c r="AE106" s="227">
        <f t="shared" si="82"/>
        <v>246.9135802469136</v>
      </c>
      <c r="AF106" s="227">
        <f t="shared" si="82"/>
        <v>246.9135802469136</v>
      </c>
      <c r="AG106" s="227">
        <f t="shared" si="82"/>
        <v>246.9135802469136</v>
      </c>
      <c r="AH106" s="227">
        <f t="shared" si="82"/>
        <v>246.9135802469136</v>
      </c>
      <c r="AI106" s="227">
        <f t="shared" si="82"/>
        <v>246.9135802469136</v>
      </c>
      <c r="AJ106" s="227">
        <f t="shared" si="82"/>
        <v>246.9135802469136</v>
      </c>
      <c r="AK106" s="227">
        <f t="shared" si="82"/>
        <v>246.9135802469136</v>
      </c>
      <c r="AL106" s="228">
        <f t="shared" si="82"/>
        <v>246.9135802469136</v>
      </c>
      <c r="AM106" s="288">
        <f t="shared" si="82"/>
        <v>246.9135802469136</v>
      </c>
      <c r="AN106" s="227">
        <f t="shared" si="82"/>
        <v>246.9135802469136</v>
      </c>
      <c r="AO106" s="227">
        <f t="shared" si="82"/>
        <v>246.9135802469136</v>
      </c>
      <c r="AP106" s="227">
        <f t="shared" si="82"/>
        <v>246.9135802469136</v>
      </c>
      <c r="AQ106" s="227">
        <f t="shared" si="82"/>
        <v>246.9135802469136</v>
      </c>
      <c r="AR106" s="227">
        <f t="shared" si="82"/>
        <v>246.9135802469136</v>
      </c>
      <c r="AS106" s="227">
        <f t="shared" si="82"/>
        <v>246.9135802469136</v>
      </c>
      <c r="AT106" s="227">
        <f t="shared" si="82"/>
        <v>246.9135802469136</v>
      </c>
      <c r="AU106" s="227">
        <f t="shared" si="82"/>
        <v>246.9135802469136</v>
      </c>
      <c r="AV106" s="227">
        <f t="shared" si="82"/>
        <v>246.9135802469136</v>
      </c>
      <c r="AW106" s="227">
        <f t="shared" si="82"/>
        <v>246.9135802469136</v>
      </c>
      <c r="AX106" s="228">
        <f t="shared" si="82"/>
        <v>246.9135802469136</v>
      </c>
      <c r="AY106" s="288">
        <f t="shared" si="82"/>
        <v>246.9135802469136</v>
      </c>
      <c r="AZ106" s="227">
        <f t="shared" si="82"/>
        <v>246.9135802469136</v>
      </c>
      <c r="BA106" s="227">
        <f t="shared" si="82"/>
        <v>246.9135802469136</v>
      </c>
      <c r="BB106" s="227">
        <f t="shared" si="82"/>
        <v>246.9135802469136</v>
      </c>
      <c r="BC106" s="227">
        <f t="shared" si="82"/>
        <v>246.9135802469136</v>
      </c>
      <c r="BD106" s="227">
        <f t="shared" si="82"/>
        <v>246.9135802469136</v>
      </c>
      <c r="BE106" s="227">
        <f aca="true" t="shared" si="83" ref="D106:BJ111">+BE77/$D$3</f>
        <v>246.9135802469136</v>
      </c>
      <c r="BF106" s="227">
        <f t="shared" si="83"/>
        <v>246.9135802469136</v>
      </c>
      <c r="BG106" s="227">
        <f t="shared" si="83"/>
        <v>246.9135802469136</v>
      </c>
      <c r="BH106" s="227">
        <f t="shared" si="83"/>
        <v>246.9135802469136</v>
      </c>
      <c r="BI106" s="227">
        <f t="shared" si="83"/>
        <v>246.9135802469136</v>
      </c>
      <c r="BJ106" s="228">
        <f t="shared" si="83"/>
        <v>246.9135802469136</v>
      </c>
    </row>
    <row r="107" spans="2:62" ht="15.75">
      <c r="B107" s="215">
        <f t="shared" si="78"/>
        <v>0</v>
      </c>
      <c r="C107" s="227">
        <f t="shared" si="81"/>
        <v>0</v>
      </c>
      <c r="D107" s="227">
        <f t="shared" si="83"/>
        <v>0</v>
      </c>
      <c r="E107" s="227">
        <f t="shared" si="83"/>
        <v>0</v>
      </c>
      <c r="F107" s="227">
        <f t="shared" si="83"/>
        <v>0</v>
      </c>
      <c r="G107" s="227">
        <f t="shared" si="83"/>
        <v>0</v>
      </c>
      <c r="H107" s="227">
        <f t="shared" si="83"/>
        <v>0</v>
      </c>
      <c r="I107" s="227">
        <f t="shared" si="83"/>
        <v>0</v>
      </c>
      <c r="J107" s="227">
        <f t="shared" si="83"/>
        <v>0</v>
      </c>
      <c r="K107" s="227">
        <f t="shared" si="83"/>
        <v>0</v>
      </c>
      <c r="L107" s="227">
        <f t="shared" si="83"/>
        <v>0</v>
      </c>
      <c r="M107" s="227">
        <f t="shared" si="83"/>
        <v>0</v>
      </c>
      <c r="N107" s="227">
        <f t="shared" si="83"/>
        <v>0</v>
      </c>
      <c r="O107" s="288">
        <f t="shared" si="83"/>
        <v>0</v>
      </c>
      <c r="P107" s="227">
        <f t="shared" si="83"/>
        <v>0</v>
      </c>
      <c r="Q107" s="227">
        <f t="shared" si="83"/>
        <v>0</v>
      </c>
      <c r="R107" s="227">
        <f t="shared" si="83"/>
        <v>0</v>
      </c>
      <c r="S107" s="227">
        <f t="shared" si="83"/>
        <v>0</v>
      </c>
      <c r="T107" s="227">
        <f t="shared" si="83"/>
        <v>0</v>
      </c>
      <c r="U107" s="227">
        <f t="shared" si="83"/>
        <v>0</v>
      </c>
      <c r="V107" s="227">
        <f t="shared" si="83"/>
        <v>0</v>
      </c>
      <c r="W107" s="227">
        <f t="shared" si="83"/>
        <v>0</v>
      </c>
      <c r="X107" s="227">
        <f t="shared" si="83"/>
        <v>0</v>
      </c>
      <c r="Y107" s="227">
        <f t="shared" si="83"/>
        <v>0</v>
      </c>
      <c r="Z107" s="228">
        <f t="shared" si="83"/>
        <v>0</v>
      </c>
      <c r="AA107" s="288">
        <f t="shared" si="83"/>
        <v>0</v>
      </c>
      <c r="AB107" s="227">
        <f t="shared" si="83"/>
        <v>0</v>
      </c>
      <c r="AC107" s="227">
        <f t="shared" si="83"/>
        <v>0</v>
      </c>
      <c r="AD107" s="227">
        <f t="shared" si="83"/>
        <v>0</v>
      </c>
      <c r="AE107" s="227">
        <f t="shared" si="83"/>
        <v>0</v>
      </c>
      <c r="AF107" s="227">
        <f t="shared" si="83"/>
        <v>0</v>
      </c>
      <c r="AG107" s="227">
        <f t="shared" si="83"/>
        <v>0</v>
      </c>
      <c r="AH107" s="227">
        <f t="shared" si="83"/>
        <v>0</v>
      </c>
      <c r="AI107" s="227">
        <f t="shared" si="83"/>
        <v>0</v>
      </c>
      <c r="AJ107" s="227">
        <f t="shared" si="83"/>
        <v>0</v>
      </c>
      <c r="AK107" s="227">
        <f t="shared" si="83"/>
        <v>0</v>
      </c>
      <c r="AL107" s="228">
        <f t="shared" si="83"/>
        <v>0</v>
      </c>
      <c r="AM107" s="288">
        <f t="shared" si="83"/>
        <v>0</v>
      </c>
      <c r="AN107" s="227">
        <f t="shared" si="83"/>
        <v>0</v>
      </c>
      <c r="AO107" s="227">
        <f t="shared" si="83"/>
        <v>0</v>
      </c>
      <c r="AP107" s="227">
        <f t="shared" si="83"/>
        <v>0</v>
      </c>
      <c r="AQ107" s="227">
        <f t="shared" si="83"/>
        <v>0</v>
      </c>
      <c r="AR107" s="227">
        <f t="shared" si="83"/>
        <v>0</v>
      </c>
      <c r="AS107" s="227">
        <f t="shared" si="83"/>
        <v>0</v>
      </c>
      <c r="AT107" s="227">
        <f t="shared" si="83"/>
        <v>0</v>
      </c>
      <c r="AU107" s="227">
        <f t="shared" si="83"/>
        <v>0</v>
      </c>
      <c r="AV107" s="227">
        <f t="shared" si="83"/>
        <v>0</v>
      </c>
      <c r="AW107" s="227">
        <f t="shared" si="83"/>
        <v>0</v>
      </c>
      <c r="AX107" s="228">
        <f t="shared" si="83"/>
        <v>0</v>
      </c>
      <c r="AY107" s="288">
        <f t="shared" si="83"/>
        <v>0</v>
      </c>
      <c r="AZ107" s="227">
        <f t="shared" si="83"/>
        <v>0</v>
      </c>
      <c r="BA107" s="227">
        <f t="shared" si="83"/>
        <v>0</v>
      </c>
      <c r="BB107" s="227">
        <f t="shared" si="83"/>
        <v>0</v>
      </c>
      <c r="BC107" s="227">
        <f t="shared" si="83"/>
        <v>0</v>
      </c>
      <c r="BD107" s="227">
        <f t="shared" si="83"/>
        <v>0</v>
      </c>
      <c r="BE107" s="227">
        <f t="shared" si="83"/>
        <v>0</v>
      </c>
      <c r="BF107" s="227">
        <f t="shared" si="83"/>
        <v>0</v>
      </c>
      <c r="BG107" s="227">
        <f t="shared" si="83"/>
        <v>0</v>
      </c>
      <c r="BH107" s="227">
        <f t="shared" si="83"/>
        <v>0</v>
      </c>
      <c r="BI107" s="227">
        <f t="shared" si="83"/>
        <v>0</v>
      </c>
      <c r="BJ107" s="228">
        <f t="shared" si="83"/>
        <v>0</v>
      </c>
    </row>
    <row r="108" spans="2:62" ht="15.75">
      <c r="B108" s="215">
        <f t="shared" si="78"/>
        <v>0</v>
      </c>
      <c r="C108" s="227">
        <f t="shared" si="81"/>
        <v>0</v>
      </c>
      <c r="D108" s="227">
        <f>+D79/$D$3</f>
        <v>0</v>
      </c>
      <c r="E108" s="227">
        <f t="shared" si="83"/>
        <v>0</v>
      </c>
      <c r="F108" s="227">
        <f t="shared" si="83"/>
        <v>0</v>
      </c>
      <c r="G108" s="227">
        <f t="shared" si="83"/>
        <v>0</v>
      </c>
      <c r="H108" s="227">
        <f t="shared" si="83"/>
        <v>0</v>
      </c>
      <c r="I108" s="227">
        <f t="shared" si="83"/>
        <v>0</v>
      </c>
      <c r="J108" s="227">
        <f t="shared" si="83"/>
        <v>0</v>
      </c>
      <c r="K108" s="227">
        <f t="shared" si="83"/>
        <v>0</v>
      </c>
      <c r="L108" s="227">
        <f t="shared" si="83"/>
        <v>0</v>
      </c>
      <c r="M108" s="227">
        <f t="shared" si="83"/>
        <v>0</v>
      </c>
      <c r="N108" s="227">
        <f t="shared" si="83"/>
        <v>0</v>
      </c>
      <c r="O108" s="288">
        <f t="shared" si="83"/>
        <v>0</v>
      </c>
      <c r="P108" s="227">
        <f t="shared" si="83"/>
        <v>0</v>
      </c>
      <c r="Q108" s="227">
        <f t="shared" si="83"/>
        <v>0</v>
      </c>
      <c r="R108" s="227">
        <f t="shared" si="83"/>
        <v>0</v>
      </c>
      <c r="S108" s="227">
        <f t="shared" si="83"/>
        <v>0</v>
      </c>
      <c r="T108" s="227">
        <f t="shared" si="83"/>
        <v>0</v>
      </c>
      <c r="U108" s="227">
        <f t="shared" si="83"/>
        <v>0</v>
      </c>
      <c r="V108" s="227">
        <f t="shared" si="83"/>
        <v>0</v>
      </c>
      <c r="W108" s="227">
        <f t="shared" si="83"/>
        <v>0</v>
      </c>
      <c r="X108" s="227">
        <f t="shared" si="83"/>
        <v>0</v>
      </c>
      <c r="Y108" s="227">
        <f t="shared" si="83"/>
        <v>0</v>
      </c>
      <c r="Z108" s="228">
        <f t="shared" si="83"/>
        <v>0</v>
      </c>
      <c r="AA108" s="288">
        <f t="shared" si="83"/>
        <v>0</v>
      </c>
      <c r="AB108" s="227">
        <f t="shared" si="83"/>
        <v>0</v>
      </c>
      <c r="AC108" s="227">
        <f t="shared" si="83"/>
        <v>0</v>
      </c>
      <c r="AD108" s="227">
        <f t="shared" si="83"/>
        <v>0</v>
      </c>
      <c r="AE108" s="227">
        <f t="shared" si="83"/>
        <v>0</v>
      </c>
      <c r="AF108" s="227">
        <f t="shared" si="83"/>
        <v>0</v>
      </c>
      <c r="AG108" s="227">
        <f t="shared" si="83"/>
        <v>0</v>
      </c>
      <c r="AH108" s="227">
        <f t="shared" si="83"/>
        <v>0</v>
      </c>
      <c r="AI108" s="227">
        <f t="shared" si="83"/>
        <v>0</v>
      </c>
      <c r="AJ108" s="227">
        <f t="shared" si="83"/>
        <v>0</v>
      </c>
      <c r="AK108" s="227">
        <f t="shared" si="83"/>
        <v>0</v>
      </c>
      <c r="AL108" s="228">
        <f t="shared" si="83"/>
        <v>0</v>
      </c>
      <c r="AM108" s="288">
        <f t="shared" si="83"/>
        <v>0</v>
      </c>
      <c r="AN108" s="227">
        <f t="shared" si="83"/>
        <v>0</v>
      </c>
      <c r="AO108" s="227">
        <f t="shared" si="83"/>
        <v>0</v>
      </c>
      <c r="AP108" s="227">
        <f t="shared" si="83"/>
        <v>0</v>
      </c>
      <c r="AQ108" s="227">
        <f t="shared" si="83"/>
        <v>0</v>
      </c>
      <c r="AR108" s="227">
        <f t="shared" si="83"/>
        <v>0</v>
      </c>
      <c r="AS108" s="227">
        <f t="shared" si="83"/>
        <v>0</v>
      </c>
      <c r="AT108" s="227">
        <f t="shared" si="83"/>
        <v>0</v>
      </c>
      <c r="AU108" s="227">
        <f t="shared" si="83"/>
        <v>0</v>
      </c>
      <c r="AV108" s="227">
        <f t="shared" si="83"/>
        <v>0</v>
      </c>
      <c r="AW108" s="227">
        <f t="shared" si="83"/>
        <v>0</v>
      </c>
      <c r="AX108" s="228">
        <f t="shared" si="83"/>
        <v>0</v>
      </c>
      <c r="AY108" s="288">
        <f t="shared" si="83"/>
        <v>0</v>
      </c>
      <c r="AZ108" s="227">
        <f t="shared" si="83"/>
        <v>0</v>
      </c>
      <c r="BA108" s="227">
        <f t="shared" si="83"/>
        <v>0</v>
      </c>
      <c r="BB108" s="227">
        <f t="shared" si="83"/>
        <v>0</v>
      </c>
      <c r="BC108" s="227">
        <f t="shared" si="83"/>
        <v>0</v>
      </c>
      <c r="BD108" s="227">
        <f t="shared" si="83"/>
        <v>0</v>
      </c>
      <c r="BE108" s="227">
        <f t="shared" si="83"/>
        <v>0</v>
      </c>
      <c r="BF108" s="227">
        <f t="shared" si="83"/>
        <v>0</v>
      </c>
      <c r="BG108" s="227">
        <f t="shared" si="83"/>
        <v>0</v>
      </c>
      <c r="BH108" s="227">
        <f t="shared" si="83"/>
        <v>0</v>
      </c>
      <c r="BI108" s="227">
        <f t="shared" si="83"/>
        <v>0</v>
      </c>
      <c r="BJ108" s="228">
        <f t="shared" si="83"/>
        <v>0</v>
      </c>
    </row>
    <row r="109" spans="2:62" ht="15.75">
      <c r="B109" s="215">
        <f t="shared" si="78"/>
        <v>0</v>
      </c>
      <c r="C109" s="227">
        <f t="shared" si="81"/>
        <v>0</v>
      </c>
      <c r="D109" s="227">
        <f t="shared" si="83"/>
        <v>0</v>
      </c>
      <c r="E109" s="227">
        <f t="shared" si="83"/>
        <v>0</v>
      </c>
      <c r="F109" s="227">
        <f t="shared" si="83"/>
        <v>0</v>
      </c>
      <c r="G109" s="227">
        <f t="shared" si="83"/>
        <v>0</v>
      </c>
      <c r="H109" s="227">
        <f t="shared" si="83"/>
        <v>0</v>
      </c>
      <c r="I109" s="227">
        <f t="shared" si="83"/>
        <v>0</v>
      </c>
      <c r="J109" s="227">
        <f t="shared" si="83"/>
        <v>0</v>
      </c>
      <c r="K109" s="227">
        <f t="shared" si="83"/>
        <v>0</v>
      </c>
      <c r="L109" s="227">
        <f t="shared" si="83"/>
        <v>0</v>
      </c>
      <c r="M109" s="227">
        <f t="shared" si="83"/>
        <v>0</v>
      </c>
      <c r="N109" s="227">
        <f t="shared" si="83"/>
        <v>0</v>
      </c>
      <c r="O109" s="288">
        <f t="shared" si="83"/>
        <v>0</v>
      </c>
      <c r="P109" s="227">
        <f t="shared" si="83"/>
        <v>0</v>
      </c>
      <c r="Q109" s="227">
        <f t="shared" si="83"/>
        <v>0</v>
      </c>
      <c r="R109" s="227">
        <f t="shared" si="83"/>
        <v>0</v>
      </c>
      <c r="S109" s="227">
        <f t="shared" si="83"/>
        <v>0</v>
      </c>
      <c r="T109" s="227">
        <f t="shared" si="83"/>
        <v>0</v>
      </c>
      <c r="U109" s="227">
        <f t="shared" si="83"/>
        <v>0</v>
      </c>
      <c r="V109" s="227">
        <f t="shared" si="83"/>
        <v>0</v>
      </c>
      <c r="W109" s="227">
        <f t="shared" si="83"/>
        <v>0</v>
      </c>
      <c r="X109" s="227">
        <f t="shared" si="83"/>
        <v>0</v>
      </c>
      <c r="Y109" s="227">
        <f t="shared" si="83"/>
        <v>0</v>
      </c>
      <c r="Z109" s="228">
        <f t="shared" si="83"/>
        <v>0</v>
      </c>
      <c r="AA109" s="288">
        <f t="shared" si="83"/>
        <v>0</v>
      </c>
      <c r="AB109" s="227">
        <f t="shared" si="83"/>
        <v>0</v>
      </c>
      <c r="AC109" s="227">
        <f t="shared" si="83"/>
        <v>0</v>
      </c>
      <c r="AD109" s="227">
        <f t="shared" si="83"/>
        <v>0</v>
      </c>
      <c r="AE109" s="227">
        <f t="shared" si="83"/>
        <v>0</v>
      </c>
      <c r="AF109" s="227">
        <f t="shared" si="83"/>
        <v>0</v>
      </c>
      <c r="AG109" s="227">
        <f t="shared" si="83"/>
        <v>0</v>
      </c>
      <c r="AH109" s="227">
        <f t="shared" si="83"/>
        <v>0</v>
      </c>
      <c r="AI109" s="227">
        <f t="shared" si="83"/>
        <v>0</v>
      </c>
      <c r="AJ109" s="227">
        <f t="shared" si="83"/>
        <v>0</v>
      </c>
      <c r="AK109" s="227">
        <f t="shared" si="83"/>
        <v>0</v>
      </c>
      <c r="AL109" s="228">
        <f t="shared" si="83"/>
        <v>0</v>
      </c>
      <c r="AM109" s="288">
        <f t="shared" si="83"/>
        <v>0</v>
      </c>
      <c r="AN109" s="227">
        <f t="shared" si="83"/>
        <v>0</v>
      </c>
      <c r="AO109" s="227">
        <f t="shared" si="83"/>
        <v>0</v>
      </c>
      <c r="AP109" s="227">
        <f t="shared" si="83"/>
        <v>0</v>
      </c>
      <c r="AQ109" s="227">
        <f t="shared" si="83"/>
        <v>0</v>
      </c>
      <c r="AR109" s="227">
        <f t="shared" si="83"/>
        <v>0</v>
      </c>
      <c r="AS109" s="227">
        <f t="shared" si="83"/>
        <v>0</v>
      </c>
      <c r="AT109" s="227">
        <f t="shared" si="83"/>
        <v>0</v>
      </c>
      <c r="AU109" s="227">
        <f t="shared" si="83"/>
        <v>0</v>
      </c>
      <c r="AV109" s="227">
        <f t="shared" si="83"/>
        <v>0</v>
      </c>
      <c r="AW109" s="227">
        <f t="shared" si="83"/>
        <v>0</v>
      </c>
      <c r="AX109" s="228">
        <f t="shared" si="83"/>
        <v>0</v>
      </c>
      <c r="AY109" s="288">
        <f t="shared" si="83"/>
        <v>0</v>
      </c>
      <c r="AZ109" s="227">
        <f t="shared" si="83"/>
        <v>0</v>
      </c>
      <c r="BA109" s="227">
        <f t="shared" si="83"/>
        <v>0</v>
      </c>
      <c r="BB109" s="227">
        <f t="shared" si="83"/>
        <v>0</v>
      </c>
      <c r="BC109" s="227">
        <f t="shared" si="83"/>
        <v>0</v>
      </c>
      <c r="BD109" s="227">
        <f t="shared" si="83"/>
        <v>0</v>
      </c>
      <c r="BE109" s="227">
        <f t="shared" si="83"/>
        <v>0</v>
      </c>
      <c r="BF109" s="227">
        <f t="shared" si="83"/>
        <v>0</v>
      </c>
      <c r="BG109" s="227">
        <f t="shared" si="83"/>
        <v>0</v>
      </c>
      <c r="BH109" s="227">
        <f t="shared" si="83"/>
        <v>0</v>
      </c>
      <c r="BI109" s="227">
        <f t="shared" si="83"/>
        <v>0</v>
      </c>
      <c r="BJ109" s="228">
        <f t="shared" si="83"/>
        <v>0</v>
      </c>
    </row>
    <row r="110" spans="2:62" ht="15.75">
      <c r="B110" s="215">
        <f t="shared" si="78"/>
        <v>0</v>
      </c>
      <c r="C110" s="227">
        <f t="shared" si="81"/>
        <v>0</v>
      </c>
      <c r="D110" s="227">
        <f t="shared" si="83"/>
        <v>0</v>
      </c>
      <c r="E110" s="227">
        <f t="shared" si="83"/>
        <v>0</v>
      </c>
      <c r="F110" s="227">
        <f t="shared" si="83"/>
        <v>0</v>
      </c>
      <c r="G110" s="227">
        <f t="shared" si="83"/>
        <v>0</v>
      </c>
      <c r="H110" s="227">
        <f t="shared" si="83"/>
        <v>0</v>
      </c>
      <c r="I110" s="227">
        <f t="shared" si="83"/>
        <v>0</v>
      </c>
      <c r="J110" s="227">
        <f t="shared" si="83"/>
        <v>0</v>
      </c>
      <c r="K110" s="227">
        <f t="shared" si="83"/>
        <v>0</v>
      </c>
      <c r="L110" s="227">
        <f t="shared" si="83"/>
        <v>0</v>
      </c>
      <c r="M110" s="227">
        <f t="shared" si="83"/>
        <v>0</v>
      </c>
      <c r="N110" s="227">
        <f t="shared" si="83"/>
        <v>0</v>
      </c>
      <c r="O110" s="288">
        <f t="shared" si="83"/>
        <v>0</v>
      </c>
      <c r="P110" s="227">
        <f t="shared" si="83"/>
        <v>0</v>
      </c>
      <c r="Q110" s="227">
        <f t="shared" si="83"/>
        <v>0</v>
      </c>
      <c r="R110" s="227">
        <f t="shared" si="83"/>
        <v>0</v>
      </c>
      <c r="S110" s="227">
        <f t="shared" si="83"/>
        <v>0</v>
      </c>
      <c r="T110" s="227">
        <f t="shared" si="83"/>
        <v>0</v>
      </c>
      <c r="U110" s="227">
        <f t="shared" si="83"/>
        <v>0</v>
      </c>
      <c r="V110" s="227">
        <f t="shared" si="83"/>
        <v>0</v>
      </c>
      <c r="W110" s="227">
        <f t="shared" si="83"/>
        <v>0</v>
      </c>
      <c r="X110" s="227">
        <f t="shared" si="83"/>
        <v>0</v>
      </c>
      <c r="Y110" s="227">
        <f t="shared" si="83"/>
        <v>0</v>
      </c>
      <c r="Z110" s="228">
        <f t="shared" si="83"/>
        <v>0</v>
      </c>
      <c r="AA110" s="288">
        <f t="shared" si="83"/>
        <v>0</v>
      </c>
      <c r="AB110" s="227">
        <f t="shared" si="83"/>
        <v>0</v>
      </c>
      <c r="AC110" s="227">
        <f t="shared" si="83"/>
        <v>0</v>
      </c>
      <c r="AD110" s="227">
        <f t="shared" si="83"/>
        <v>0</v>
      </c>
      <c r="AE110" s="227">
        <f t="shared" si="83"/>
        <v>0</v>
      </c>
      <c r="AF110" s="227">
        <f t="shared" si="83"/>
        <v>0</v>
      </c>
      <c r="AG110" s="227">
        <f t="shared" si="83"/>
        <v>0</v>
      </c>
      <c r="AH110" s="227">
        <f t="shared" si="83"/>
        <v>0</v>
      </c>
      <c r="AI110" s="227">
        <f t="shared" si="83"/>
        <v>0</v>
      </c>
      <c r="AJ110" s="227">
        <f t="shared" si="83"/>
        <v>0</v>
      </c>
      <c r="AK110" s="227">
        <f t="shared" si="83"/>
        <v>0</v>
      </c>
      <c r="AL110" s="228">
        <f t="shared" si="83"/>
        <v>0</v>
      </c>
      <c r="AM110" s="288">
        <f t="shared" si="83"/>
        <v>0</v>
      </c>
      <c r="AN110" s="227">
        <f t="shared" si="83"/>
        <v>0</v>
      </c>
      <c r="AO110" s="227">
        <f t="shared" si="83"/>
        <v>0</v>
      </c>
      <c r="AP110" s="227">
        <f t="shared" si="83"/>
        <v>0</v>
      </c>
      <c r="AQ110" s="227">
        <f t="shared" si="83"/>
        <v>0</v>
      </c>
      <c r="AR110" s="227">
        <f t="shared" si="83"/>
        <v>0</v>
      </c>
      <c r="AS110" s="227">
        <f t="shared" si="83"/>
        <v>0</v>
      </c>
      <c r="AT110" s="227">
        <f t="shared" si="83"/>
        <v>0</v>
      </c>
      <c r="AU110" s="227">
        <f t="shared" si="83"/>
        <v>0</v>
      </c>
      <c r="AV110" s="227">
        <f t="shared" si="83"/>
        <v>0</v>
      </c>
      <c r="AW110" s="227">
        <f t="shared" si="83"/>
        <v>0</v>
      </c>
      <c r="AX110" s="228">
        <f t="shared" si="83"/>
        <v>0</v>
      </c>
      <c r="AY110" s="288">
        <f t="shared" si="83"/>
        <v>0</v>
      </c>
      <c r="AZ110" s="227">
        <f t="shared" si="83"/>
        <v>0</v>
      </c>
      <c r="BA110" s="227">
        <f t="shared" si="83"/>
        <v>0</v>
      </c>
      <c r="BB110" s="227">
        <f t="shared" si="83"/>
        <v>0</v>
      </c>
      <c r="BC110" s="227">
        <f t="shared" si="83"/>
        <v>0</v>
      </c>
      <c r="BD110" s="227">
        <f t="shared" si="83"/>
        <v>0</v>
      </c>
      <c r="BE110" s="227">
        <f t="shared" si="83"/>
        <v>0</v>
      </c>
      <c r="BF110" s="227">
        <f t="shared" si="83"/>
        <v>0</v>
      </c>
      <c r="BG110" s="227">
        <f t="shared" si="83"/>
        <v>0</v>
      </c>
      <c r="BH110" s="227">
        <f t="shared" si="83"/>
        <v>0</v>
      </c>
      <c r="BI110" s="227">
        <f t="shared" si="83"/>
        <v>0</v>
      </c>
      <c r="BJ110" s="228">
        <f t="shared" si="83"/>
        <v>0</v>
      </c>
    </row>
    <row r="111" spans="2:62" ht="15.75">
      <c r="B111" s="215">
        <f t="shared" si="78"/>
        <v>0</v>
      </c>
      <c r="C111" s="227">
        <f t="shared" si="81"/>
        <v>0</v>
      </c>
      <c r="D111" s="227">
        <f t="shared" si="83"/>
        <v>0</v>
      </c>
      <c r="E111" s="227">
        <f t="shared" si="83"/>
        <v>0</v>
      </c>
      <c r="F111" s="227">
        <f t="shared" si="83"/>
        <v>0</v>
      </c>
      <c r="G111" s="227">
        <f t="shared" si="83"/>
        <v>0</v>
      </c>
      <c r="H111" s="227">
        <f t="shared" si="83"/>
        <v>0</v>
      </c>
      <c r="I111" s="227">
        <f t="shared" si="83"/>
        <v>0</v>
      </c>
      <c r="J111" s="227">
        <f t="shared" si="83"/>
        <v>0</v>
      </c>
      <c r="K111" s="227">
        <f t="shared" si="83"/>
        <v>0</v>
      </c>
      <c r="L111" s="227">
        <f t="shared" si="83"/>
        <v>0</v>
      </c>
      <c r="M111" s="227">
        <f t="shared" si="83"/>
        <v>0</v>
      </c>
      <c r="N111" s="227">
        <f t="shared" si="83"/>
        <v>0</v>
      </c>
      <c r="O111" s="288">
        <f t="shared" si="83"/>
        <v>0</v>
      </c>
      <c r="P111" s="227">
        <f t="shared" si="83"/>
        <v>0</v>
      </c>
      <c r="Q111" s="227">
        <f aca="true" t="shared" si="84" ref="D111:BJ115">+Q82/$D$3</f>
        <v>0</v>
      </c>
      <c r="R111" s="227">
        <f t="shared" si="84"/>
        <v>0</v>
      </c>
      <c r="S111" s="227">
        <f t="shared" si="84"/>
        <v>0</v>
      </c>
      <c r="T111" s="227">
        <f t="shared" si="84"/>
        <v>0</v>
      </c>
      <c r="U111" s="227">
        <f t="shared" si="84"/>
        <v>0</v>
      </c>
      <c r="V111" s="227">
        <f t="shared" si="84"/>
        <v>0</v>
      </c>
      <c r="W111" s="227">
        <f t="shared" si="84"/>
        <v>0</v>
      </c>
      <c r="X111" s="227">
        <f t="shared" si="84"/>
        <v>0</v>
      </c>
      <c r="Y111" s="227">
        <f t="shared" si="84"/>
        <v>0</v>
      </c>
      <c r="Z111" s="228">
        <f t="shared" si="84"/>
        <v>0</v>
      </c>
      <c r="AA111" s="288">
        <f t="shared" si="84"/>
        <v>0</v>
      </c>
      <c r="AB111" s="227">
        <f t="shared" si="84"/>
        <v>0</v>
      </c>
      <c r="AC111" s="227">
        <f t="shared" si="84"/>
        <v>0</v>
      </c>
      <c r="AD111" s="227">
        <f t="shared" si="84"/>
        <v>0</v>
      </c>
      <c r="AE111" s="227">
        <f t="shared" si="84"/>
        <v>0</v>
      </c>
      <c r="AF111" s="227">
        <f t="shared" si="84"/>
        <v>0</v>
      </c>
      <c r="AG111" s="227">
        <f t="shared" si="84"/>
        <v>0</v>
      </c>
      <c r="AH111" s="227">
        <f t="shared" si="84"/>
        <v>0</v>
      </c>
      <c r="AI111" s="227">
        <f t="shared" si="84"/>
        <v>0</v>
      </c>
      <c r="AJ111" s="227">
        <f t="shared" si="84"/>
        <v>0</v>
      </c>
      <c r="AK111" s="227">
        <f t="shared" si="84"/>
        <v>0</v>
      </c>
      <c r="AL111" s="228">
        <f t="shared" si="84"/>
        <v>0</v>
      </c>
      <c r="AM111" s="288">
        <f t="shared" si="84"/>
        <v>0</v>
      </c>
      <c r="AN111" s="227">
        <f t="shared" si="84"/>
        <v>0</v>
      </c>
      <c r="AO111" s="227">
        <f t="shared" si="84"/>
        <v>0</v>
      </c>
      <c r="AP111" s="227">
        <f t="shared" si="84"/>
        <v>0</v>
      </c>
      <c r="AQ111" s="227">
        <f t="shared" si="84"/>
        <v>0</v>
      </c>
      <c r="AR111" s="227">
        <f t="shared" si="84"/>
        <v>0</v>
      </c>
      <c r="AS111" s="227">
        <f t="shared" si="84"/>
        <v>0</v>
      </c>
      <c r="AT111" s="227">
        <f t="shared" si="84"/>
        <v>0</v>
      </c>
      <c r="AU111" s="227">
        <f t="shared" si="84"/>
        <v>0</v>
      </c>
      <c r="AV111" s="227">
        <f t="shared" si="84"/>
        <v>0</v>
      </c>
      <c r="AW111" s="227">
        <f t="shared" si="84"/>
        <v>0</v>
      </c>
      <c r="AX111" s="228">
        <f t="shared" si="84"/>
        <v>0</v>
      </c>
      <c r="AY111" s="288">
        <f t="shared" si="84"/>
        <v>0</v>
      </c>
      <c r="AZ111" s="227">
        <f t="shared" si="84"/>
        <v>0</v>
      </c>
      <c r="BA111" s="227">
        <f t="shared" si="84"/>
        <v>0</v>
      </c>
      <c r="BB111" s="227">
        <f t="shared" si="84"/>
        <v>0</v>
      </c>
      <c r="BC111" s="227">
        <f t="shared" si="84"/>
        <v>0</v>
      </c>
      <c r="BD111" s="227">
        <f t="shared" si="84"/>
        <v>0</v>
      </c>
      <c r="BE111" s="227">
        <f t="shared" si="84"/>
        <v>0</v>
      </c>
      <c r="BF111" s="227">
        <f t="shared" si="84"/>
        <v>0</v>
      </c>
      <c r="BG111" s="227">
        <f t="shared" si="84"/>
        <v>0</v>
      </c>
      <c r="BH111" s="227">
        <f t="shared" si="84"/>
        <v>0</v>
      </c>
      <c r="BI111" s="227">
        <f t="shared" si="84"/>
        <v>0</v>
      </c>
      <c r="BJ111" s="228">
        <f t="shared" si="84"/>
        <v>0</v>
      </c>
    </row>
    <row r="112" spans="2:62" ht="15.75">
      <c r="B112" s="215">
        <f t="shared" si="78"/>
        <v>0</v>
      </c>
      <c r="C112" s="227">
        <f t="shared" si="81"/>
        <v>0</v>
      </c>
      <c r="D112" s="227">
        <f t="shared" si="84"/>
        <v>0</v>
      </c>
      <c r="E112" s="227">
        <f t="shared" si="84"/>
        <v>0</v>
      </c>
      <c r="F112" s="227">
        <f t="shared" si="84"/>
        <v>0</v>
      </c>
      <c r="G112" s="227">
        <f t="shared" si="84"/>
        <v>0</v>
      </c>
      <c r="H112" s="227">
        <f t="shared" si="84"/>
        <v>0</v>
      </c>
      <c r="I112" s="227">
        <f t="shared" si="84"/>
        <v>0</v>
      </c>
      <c r="J112" s="227">
        <f t="shared" si="84"/>
        <v>0</v>
      </c>
      <c r="K112" s="227">
        <f t="shared" si="84"/>
        <v>0</v>
      </c>
      <c r="L112" s="227">
        <f t="shared" si="84"/>
        <v>0</v>
      </c>
      <c r="M112" s="227">
        <f t="shared" si="84"/>
        <v>0</v>
      </c>
      <c r="N112" s="227">
        <f t="shared" si="84"/>
        <v>0</v>
      </c>
      <c r="O112" s="288">
        <f t="shared" si="84"/>
        <v>0</v>
      </c>
      <c r="P112" s="227">
        <f t="shared" si="84"/>
        <v>0</v>
      </c>
      <c r="Q112" s="227">
        <f t="shared" si="84"/>
        <v>0</v>
      </c>
      <c r="R112" s="227">
        <f t="shared" si="84"/>
        <v>0</v>
      </c>
      <c r="S112" s="227">
        <f t="shared" si="84"/>
        <v>0</v>
      </c>
      <c r="T112" s="227">
        <f t="shared" si="84"/>
        <v>0</v>
      </c>
      <c r="U112" s="227">
        <f t="shared" si="84"/>
        <v>0</v>
      </c>
      <c r="V112" s="227">
        <f t="shared" si="84"/>
        <v>0</v>
      </c>
      <c r="W112" s="227">
        <f t="shared" si="84"/>
        <v>0</v>
      </c>
      <c r="X112" s="227">
        <f t="shared" si="84"/>
        <v>0</v>
      </c>
      <c r="Y112" s="227">
        <f t="shared" si="84"/>
        <v>0</v>
      </c>
      <c r="Z112" s="228">
        <f t="shared" si="84"/>
        <v>0</v>
      </c>
      <c r="AA112" s="288">
        <f t="shared" si="84"/>
        <v>0</v>
      </c>
      <c r="AB112" s="227">
        <f t="shared" si="84"/>
        <v>0</v>
      </c>
      <c r="AC112" s="227">
        <f t="shared" si="84"/>
        <v>0</v>
      </c>
      <c r="AD112" s="227">
        <f t="shared" si="84"/>
        <v>0</v>
      </c>
      <c r="AE112" s="227">
        <f t="shared" si="84"/>
        <v>0</v>
      </c>
      <c r="AF112" s="227">
        <f t="shared" si="84"/>
        <v>0</v>
      </c>
      <c r="AG112" s="227">
        <f t="shared" si="84"/>
        <v>0</v>
      </c>
      <c r="AH112" s="227">
        <f t="shared" si="84"/>
        <v>0</v>
      </c>
      <c r="AI112" s="227">
        <f t="shared" si="84"/>
        <v>0</v>
      </c>
      <c r="AJ112" s="227">
        <f t="shared" si="84"/>
        <v>0</v>
      </c>
      <c r="AK112" s="227">
        <f t="shared" si="84"/>
        <v>0</v>
      </c>
      <c r="AL112" s="228">
        <f t="shared" si="84"/>
        <v>0</v>
      </c>
      <c r="AM112" s="288">
        <f t="shared" si="84"/>
        <v>0</v>
      </c>
      <c r="AN112" s="227">
        <f t="shared" si="84"/>
        <v>0</v>
      </c>
      <c r="AO112" s="227">
        <f t="shared" si="84"/>
        <v>0</v>
      </c>
      <c r="AP112" s="227">
        <f t="shared" si="84"/>
        <v>0</v>
      </c>
      <c r="AQ112" s="227">
        <f t="shared" si="84"/>
        <v>0</v>
      </c>
      <c r="AR112" s="227">
        <f t="shared" si="84"/>
        <v>0</v>
      </c>
      <c r="AS112" s="227">
        <f t="shared" si="84"/>
        <v>0</v>
      </c>
      <c r="AT112" s="227">
        <f t="shared" si="84"/>
        <v>0</v>
      </c>
      <c r="AU112" s="227">
        <f t="shared" si="84"/>
        <v>0</v>
      </c>
      <c r="AV112" s="227">
        <f t="shared" si="84"/>
        <v>0</v>
      </c>
      <c r="AW112" s="227">
        <f t="shared" si="84"/>
        <v>0</v>
      </c>
      <c r="AX112" s="228">
        <f t="shared" si="84"/>
        <v>0</v>
      </c>
      <c r="AY112" s="288">
        <f t="shared" si="84"/>
        <v>0</v>
      </c>
      <c r="AZ112" s="227">
        <f t="shared" si="84"/>
        <v>0</v>
      </c>
      <c r="BA112" s="227">
        <f t="shared" si="84"/>
        <v>0</v>
      </c>
      <c r="BB112" s="227">
        <f t="shared" si="84"/>
        <v>0</v>
      </c>
      <c r="BC112" s="227">
        <f t="shared" si="84"/>
        <v>0</v>
      </c>
      <c r="BD112" s="227">
        <f t="shared" si="84"/>
        <v>0</v>
      </c>
      <c r="BE112" s="227">
        <f t="shared" si="84"/>
        <v>0</v>
      </c>
      <c r="BF112" s="227">
        <f t="shared" si="84"/>
        <v>0</v>
      </c>
      <c r="BG112" s="227">
        <f t="shared" si="84"/>
        <v>0</v>
      </c>
      <c r="BH112" s="227">
        <f t="shared" si="84"/>
        <v>0</v>
      </c>
      <c r="BI112" s="227">
        <f t="shared" si="84"/>
        <v>0</v>
      </c>
      <c r="BJ112" s="228">
        <f t="shared" si="84"/>
        <v>0</v>
      </c>
    </row>
    <row r="113" spans="2:62" ht="15.75">
      <c r="B113" s="235">
        <f t="shared" si="78"/>
        <v>0</v>
      </c>
      <c r="C113" s="227">
        <f t="shared" si="81"/>
        <v>0</v>
      </c>
      <c r="D113" s="227">
        <f t="shared" si="84"/>
        <v>0</v>
      </c>
      <c r="E113" s="227">
        <f t="shared" si="84"/>
        <v>0</v>
      </c>
      <c r="F113" s="227">
        <f t="shared" si="84"/>
        <v>0</v>
      </c>
      <c r="G113" s="227">
        <f t="shared" si="84"/>
        <v>0</v>
      </c>
      <c r="H113" s="227">
        <f t="shared" si="84"/>
        <v>0</v>
      </c>
      <c r="I113" s="227">
        <f t="shared" si="84"/>
        <v>0</v>
      </c>
      <c r="J113" s="227">
        <f t="shared" si="84"/>
        <v>0</v>
      </c>
      <c r="K113" s="227">
        <f t="shared" si="84"/>
        <v>0</v>
      </c>
      <c r="L113" s="227">
        <f t="shared" si="84"/>
        <v>0</v>
      </c>
      <c r="M113" s="227">
        <f t="shared" si="84"/>
        <v>0</v>
      </c>
      <c r="N113" s="227">
        <f t="shared" si="84"/>
        <v>0</v>
      </c>
      <c r="O113" s="288">
        <f t="shared" si="84"/>
        <v>0</v>
      </c>
      <c r="P113" s="227">
        <f t="shared" si="84"/>
        <v>0</v>
      </c>
      <c r="Q113" s="227">
        <f t="shared" si="84"/>
        <v>0</v>
      </c>
      <c r="R113" s="227">
        <f t="shared" si="84"/>
        <v>0</v>
      </c>
      <c r="S113" s="227">
        <f t="shared" si="84"/>
        <v>0</v>
      </c>
      <c r="T113" s="227">
        <f t="shared" si="84"/>
        <v>0</v>
      </c>
      <c r="U113" s="227">
        <f t="shared" si="84"/>
        <v>0</v>
      </c>
      <c r="V113" s="227">
        <f t="shared" si="84"/>
        <v>0</v>
      </c>
      <c r="W113" s="227">
        <f t="shared" si="84"/>
        <v>0</v>
      </c>
      <c r="X113" s="227">
        <f t="shared" si="84"/>
        <v>0</v>
      </c>
      <c r="Y113" s="227">
        <f t="shared" si="84"/>
        <v>0</v>
      </c>
      <c r="Z113" s="228">
        <f t="shared" si="84"/>
        <v>0</v>
      </c>
      <c r="AA113" s="288">
        <f t="shared" si="84"/>
        <v>0</v>
      </c>
      <c r="AB113" s="227">
        <f t="shared" si="84"/>
        <v>0</v>
      </c>
      <c r="AC113" s="227">
        <f t="shared" si="84"/>
        <v>0</v>
      </c>
      <c r="AD113" s="227">
        <f t="shared" si="84"/>
        <v>0</v>
      </c>
      <c r="AE113" s="227">
        <f t="shared" si="84"/>
        <v>0</v>
      </c>
      <c r="AF113" s="227">
        <f t="shared" si="84"/>
        <v>0</v>
      </c>
      <c r="AG113" s="227">
        <f t="shared" si="84"/>
        <v>0</v>
      </c>
      <c r="AH113" s="227">
        <f t="shared" si="84"/>
        <v>0</v>
      </c>
      <c r="AI113" s="227">
        <f t="shared" si="84"/>
        <v>0</v>
      </c>
      <c r="AJ113" s="227">
        <f t="shared" si="84"/>
        <v>0</v>
      </c>
      <c r="AK113" s="227">
        <f t="shared" si="84"/>
        <v>0</v>
      </c>
      <c r="AL113" s="228">
        <f t="shared" si="84"/>
        <v>0</v>
      </c>
      <c r="AM113" s="288">
        <f t="shared" si="84"/>
        <v>0</v>
      </c>
      <c r="AN113" s="227">
        <f t="shared" si="84"/>
        <v>0</v>
      </c>
      <c r="AO113" s="227">
        <f t="shared" si="84"/>
        <v>0</v>
      </c>
      <c r="AP113" s="227">
        <f t="shared" si="84"/>
        <v>0</v>
      </c>
      <c r="AQ113" s="227">
        <f t="shared" si="84"/>
        <v>0</v>
      </c>
      <c r="AR113" s="227">
        <f t="shared" si="84"/>
        <v>0</v>
      </c>
      <c r="AS113" s="227">
        <f t="shared" si="84"/>
        <v>0</v>
      </c>
      <c r="AT113" s="227">
        <f t="shared" si="84"/>
        <v>0</v>
      </c>
      <c r="AU113" s="227">
        <f t="shared" si="84"/>
        <v>0</v>
      </c>
      <c r="AV113" s="227">
        <f t="shared" si="84"/>
        <v>0</v>
      </c>
      <c r="AW113" s="227">
        <f t="shared" si="84"/>
        <v>0</v>
      </c>
      <c r="AX113" s="228">
        <f t="shared" si="84"/>
        <v>0</v>
      </c>
      <c r="AY113" s="288">
        <f t="shared" si="84"/>
        <v>0</v>
      </c>
      <c r="AZ113" s="227">
        <f t="shared" si="84"/>
        <v>0</v>
      </c>
      <c r="BA113" s="227">
        <f t="shared" si="84"/>
        <v>0</v>
      </c>
      <c r="BB113" s="227">
        <f t="shared" si="84"/>
        <v>0</v>
      </c>
      <c r="BC113" s="227">
        <f t="shared" si="84"/>
        <v>0</v>
      </c>
      <c r="BD113" s="227">
        <f t="shared" si="84"/>
        <v>0</v>
      </c>
      <c r="BE113" s="227">
        <f t="shared" si="84"/>
        <v>0</v>
      </c>
      <c r="BF113" s="227">
        <f t="shared" si="84"/>
        <v>0</v>
      </c>
      <c r="BG113" s="227">
        <f t="shared" si="84"/>
        <v>0</v>
      </c>
      <c r="BH113" s="227">
        <f t="shared" si="84"/>
        <v>0</v>
      </c>
      <c r="BI113" s="227">
        <f t="shared" si="84"/>
        <v>0</v>
      </c>
      <c r="BJ113" s="228">
        <f t="shared" si="84"/>
        <v>0</v>
      </c>
    </row>
    <row r="114" spans="2:62" ht="15.75">
      <c r="B114" s="235">
        <f t="shared" si="78"/>
        <v>0</v>
      </c>
      <c r="C114" s="227">
        <f t="shared" si="81"/>
        <v>0</v>
      </c>
      <c r="D114" s="227">
        <f t="shared" si="84"/>
        <v>0</v>
      </c>
      <c r="E114" s="227">
        <f t="shared" si="84"/>
        <v>0</v>
      </c>
      <c r="F114" s="227">
        <f t="shared" si="84"/>
        <v>0</v>
      </c>
      <c r="G114" s="227">
        <f t="shared" si="84"/>
        <v>0</v>
      </c>
      <c r="H114" s="227">
        <f t="shared" si="84"/>
        <v>0</v>
      </c>
      <c r="I114" s="227">
        <f t="shared" si="84"/>
        <v>0</v>
      </c>
      <c r="J114" s="227">
        <f t="shared" si="84"/>
        <v>0</v>
      </c>
      <c r="K114" s="227">
        <f t="shared" si="84"/>
        <v>0</v>
      </c>
      <c r="L114" s="227">
        <f t="shared" si="84"/>
        <v>0</v>
      </c>
      <c r="M114" s="227">
        <f t="shared" si="84"/>
        <v>0</v>
      </c>
      <c r="N114" s="227">
        <f t="shared" si="84"/>
        <v>0</v>
      </c>
      <c r="O114" s="288">
        <f t="shared" si="84"/>
        <v>0</v>
      </c>
      <c r="P114" s="227">
        <f t="shared" si="84"/>
        <v>0</v>
      </c>
      <c r="Q114" s="227">
        <f t="shared" si="84"/>
        <v>0</v>
      </c>
      <c r="R114" s="227">
        <f t="shared" si="84"/>
        <v>0</v>
      </c>
      <c r="S114" s="227">
        <f t="shared" si="84"/>
        <v>0</v>
      </c>
      <c r="T114" s="227">
        <f t="shared" si="84"/>
        <v>0</v>
      </c>
      <c r="U114" s="227">
        <f t="shared" si="84"/>
        <v>0</v>
      </c>
      <c r="V114" s="227">
        <f t="shared" si="84"/>
        <v>0</v>
      </c>
      <c r="W114" s="227">
        <f t="shared" si="84"/>
        <v>0</v>
      </c>
      <c r="X114" s="227">
        <f t="shared" si="84"/>
        <v>0</v>
      </c>
      <c r="Y114" s="227">
        <f t="shared" si="84"/>
        <v>0</v>
      </c>
      <c r="Z114" s="228">
        <f t="shared" si="84"/>
        <v>0</v>
      </c>
      <c r="AA114" s="288">
        <f t="shared" si="84"/>
        <v>0</v>
      </c>
      <c r="AB114" s="227">
        <f t="shared" si="84"/>
        <v>0</v>
      </c>
      <c r="AC114" s="227">
        <f t="shared" si="84"/>
        <v>0</v>
      </c>
      <c r="AD114" s="227">
        <f t="shared" si="84"/>
        <v>0</v>
      </c>
      <c r="AE114" s="227">
        <f t="shared" si="84"/>
        <v>0</v>
      </c>
      <c r="AF114" s="227">
        <f t="shared" si="84"/>
        <v>0</v>
      </c>
      <c r="AG114" s="227">
        <f t="shared" si="84"/>
        <v>0</v>
      </c>
      <c r="AH114" s="227">
        <f t="shared" si="84"/>
        <v>0</v>
      </c>
      <c r="AI114" s="227">
        <f t="shared" si="84"/>
        <v>0</v>
      </c>
      <c r="AJ114" s="227">
        <f t="shared" si="84"/>
        <v>0</v>
      </c>
      <c r="AK114" s="227">
        <f t="shared" si="84"/>
        <v>0</v>
      </c>
      <c r="AL114" s="228">
        <f t="shared" si="84"/>
        <v>0</v>
      </c>
      <c r="AM114" s="288">
        <f t="shared" si="84"/>
        <v>0</v>
      </c>
      <c r="AN114" s="227">
        <f t="shared" si="84"/>
        <v>0</v>
      </c>
      <c r="AO114" s="227">
        <f t="shared" si="84"/>
        <v>0</v>
      </c>
      <c r="AP114" s="227">
        <f t="shared" si="84"/>
        <v>0</v>
      </c>
      <c r="AQ114" s="227">
        <f t="shared" si="84"/>
        <v>0</v>
      </c>
      <c r="AR114" s="227">
        <f t="shared" si="84"/>
        <v>0</v>
      </c>
      <c r="AS114" s="227">
        <f t="shared" si="84"/>
        <v>0</v>
      </c>
      <c r="AT114" s="227">
        <f t="shared" si="84"/>
        <v>0</v>
      </c>
      <c r="AU114" s="227">
        <f t="shared" si="84"/>
        <v>0</v>
      </c>
      <c r="AV114" s="227">
        <f t="shared" si="84"/>
        <v>0</v>
      </c>
      <c r="AW114" s="227">
        <f t="shared" si="84"/>
        <v>0</v>
      </c>
      <c r="AX114" s="228">
        <f t="shared" si="84"/>
        <v>0</v>
      </c>
      <c r="AY114" s="288">
        <f t="shared" si="84"/>
        <v>0</v>
      </c>
      <c r="AZ114" s="227">
        <f t="shared" si="84"/>
        <v>0</v>
      </c>
      <c r="BA114" s="227">
        <f t="shared" si="84"/>
        <v>0</v>
      </c>
      <c r="BB114" s="227">
        <f t="shared" si="84"/>
        <v>0</v>
      </c>
      <c r="BC114" s="227">
        <f t="shared" si="84"/>
        <v>0</v>
      </c>
      <c r="BD114" s="227">
        <f t="shared" si="84"/>
        <v>0</v>
      </c>
      <c r="BE114" s="227">
        <f t="shared" si="84"/>
        <v>0</v>
      </c>
      <c r="BF114" s="227">
        <f t="shared" si="84"/>
        <v>0</v>
      </c>
      <c r="BG114" s="227">
        <f t="shared" si="84"/>
        <v>0</v>
      </c>
      <c r="BH114" s="227">
        <f t="shared" si="84"/>
        <v>0</v>
      </c>
      <c r="BI114" s="227">
        <f t="shared" si="84"/>
        <v>0</v>
      </c>
      <c r="BJ114" s="228">
        <f t="shared" si="84"/>
        <v>0</v>
      </c>
    </row>
    <row r="115" spans="2:62" ht="15.75">
      <c r="B115" s="235">
        <f t="shared" si="78"/>
        <v>0</v>
      </c>
      <c r="C115" s="227">
        <f t="shared" si="81"/>
        <v>0</v>
      </c>
      <c r="D115" s="227">
        <f t="shared" si="84"/>
        <v>0</v>
      </c>
      <c r="E115" s="227">
        <f t="shared" si="84"/>
        <v>0</v>
      </c>
      <c r="F115" s="227">
        <f t="shared" si="84"/>
        <v>0</v>
      </c>
      <c r="G115" s="227">
        <f t="shared" si="84"/>
        <v>0</v>
      </c>
      <c r="H115" s="227">
        <f t="shared" si="84"/>
        <v>0</v>
      </c>
      <c r="I115" s="227">
        <f t="shared" si="84"/>
        <v>0</v>
      </c>
      <c r="J115" s="227">
        <f t="shared" si="84"/>
        <v>0</v>
      </c>
      <c r="K115" s="227">
        <f t="shared" si="84"/>
        <v>0</v>
      </c>
      <c r="L115" s="227">
        <f t="shared" si="84"/>
        <v>0</v>
      </c>
      <c r="M115" s="227">
        <f t="shared" si="84"/>
        <v>0</v>
      </c>
      <c r="N115" s="227">
        <f t="shared" si="84"/>
        <v>0</v>
      </c>
      <c r="O115" s="288">
        <f t="shared" si="84"/>
        <v>0</v>
      </c>
      <c r="P115" s="227">
        <f t="shared" si="84"/>
        <v>0</v>
      </c>
      <c r="Q115" s="227">
        <f t="shared" si="84"/>
        <v>0</v>
      </c>
      <c r="R115" s="227">
        <f t="shared" si="84"/>
        <v>0</v>
      </c>
      <c r="S115" s="227">
        <f t="shared" si="84"/>
        <v>0</v>
      </c>
      <c r="T115" s="227">
        <f t="shared" si="84"/>
        <v>0</v>
      </c>
      <c r="U115" s="227">
        <f t="shared" si="84"/>
        <v>0</v>
      </c>
      <c r="V115" s="227">
        <f t="shared" si="84"/>
        <v>0</v>
      </c>
      <c r="W115" s="227">
        <f t="shared" si="84"/>
        <v>0</v>
      </c>
      <c r="X115" s="227">
        <f t="shared" si="84"/>
        <v>0</v>
      </c>
      <c r="Y115" s="227">
        <f t="shared" si="84"/>
        <v>0</v>
      </c>
      <c r="Z115" s="228">
        <f t="shared" si="84"/>
        <v>0</v>
      </c>
      <c r="AA115" s="288">
        <f t="shared" si="84"/>
        <v>0</v>
      </c>
      <c r="AB115" s="227">
        <f t="shared" si="84"/>
        <v>0</v>
      </c>
      <c r="AC115" s="227">
        <f t="shared" si="84"/>
        <v>0</v>
      </c>
      <c r="AD115" s="227">
        <f t="shared" si="84"/>
        <v>0</v>
      </c>
      <c r="AE115" s="227">
        <f t="shared" si="84"/>
        <v>0</v>
      </c>
      <c r="AF115" s="227">
        <f t="shared" si="84"/>
        <v>0</v>
      </c>
      <c r="AG115" s="227">
        <f t="shared" si="84"/>
        <v>0</v>
      </c>
      <c r="AH115" s="227">
        <f t="shared" si="84"/>
        <v>0</v>
      </c>
      <c r="AI115" s="227">
        <f t="shared" si="84"/>
        <v>0</v>
      </c>
      <c r="AJ115" s="227">
        <f aca="true" t="shared" si="85" ref="D115:BJ118">+AJ86/$D$3</f>
        <v>0</v>
      </c>
      <c r="AK115" s="227">
        <f t="shared" si="85"/>
        <v>0</v>
      </c>
      <c r="AL115" s="228">
        <f t="shared" si="85"/>
        <v>0</v>
      </c>
      <c r="AM115" s="288">
        <f t="shared" si="85"/>
        <v>0</v>
      </c>
      <c r="AN115" s="227">
        <f t="shared" si="85"/>
        <v>0</v>
      </c>
      <c r="AO115" s="227">
        <f t="shared" si="85"/>
        <v>0</v>
      </c>
      <c r="AP115" s="227">
        <f t="shared" si="85"/>
        <v>0</v>
      </c>
      <c r="AQ115" s="227">
        <f t="shared" si="85"/>
        <v>0</v>
      </c>
      <c r="AR115" s="227">
        <f t="shared" si="85"/>
        <v>0</v>
      </c>
      <c r="AS115" s="227">
        <f t="shared" si="85"/>
        <v>0</v>
      </c>
      <c r="AT115" s="227">
        <f t="shared" si="85"/>
        <v>0</v>
      </c>
      <c r="AU115" s="227">
        <f t="shared" si="85"/>
        <v>0</v>
      </c>
      <c r="AV115" s="227">
        <f t="shared" si="85"/>
        <v>0</v>
      </c>
      <c r="AW115" s="227">
        <f t="shared" si="85"/>
        <v>0</v>
      </c>
      <c r="AX115" s="228">
        <f t="shared" si="85"/>
        <v>0</v>
      </c>
      <c r="AY115" s="288">
        <f t="shared" si="85"/>
        <v>0</v>
      </c>
      <c r="AZ115" s="227">
        <f t="shared" si="85"/>
        <v>0</v>
      </c>
      <c r="BA115" s="227">
        <f t="shared" si="85"/>
        <v>0</v>
      </c>
      <c r="BB115" s="227">
        <f t="shared" si="85"/>
        <v>0</v>
      </c>
      <c r="BC115" s="227">
        <f t="shared" si="85"/>
        <v>0</v>
      </c>
      <c r="BD115" s="227">
        <f t="shared" si="85"/>
        <v>0</v>
      </c>
      <c r="BE115" s="227">
        <f t="shared" si="85"/>
        <v>0</v>
      </c>
      <c r="BF115" s="227">
        <f t="shared" si="85"/>
        <v>0</v>
      </c>
      <c r="BG115" s="227">
        <f t="shared" si="85"/>
        <v>0</v>
      </c>
      <c r="BH115" s="227">
        <f t="shared" si="85"/>
        <v>0</v>
      </c>
      <c r="BI115" s="227">
        <f t="shared" si="85"/>
        <v>0</v>
      </c>
      <c r="BJ115" s="228">
        <f t="shared" si="85"/>
        <v>0</v>
      </c>
    </row>
    <row r="116" spans="2:62" ht="15.75">
      <c r="B116" s="235">
        <f t="shared" si="78"/>
        <v>0</v>
      </c>
      <c r="C116" s="227">
        <f t="shared" si="81"/>
        <v>0</v>
      </c>
      <c r="D116" s="227">
        <f t="shared" si="85"/>
        <v>0</v>
      </c>
      <c r="E116" s="227">
        <f t="shared" si="85"/>
        <v>0</v>
      </c>
      <c r="F116" s="227">
        <f t="shared" si="85"/>
        <v>0</v>
      </c>
      <c r="G116" s="227">
        <f t="shared" si="85"/>
        <v>0</v>
      </c>
      <c r="H116" s="227">
        <f t="shared" si="85"/>
        <v>0</v>
      </c>
      <c r="I116" s="227">
        <f t="shared" si="85"/>
        <v>0</v>
      </c>
      <c r="J116" s="227">
        <f t="shared" si="85"/>
        <v>0</v>
      </c>
      <c r="K116" s="227">
        <f t="shared" si="85"/>
        <v>0</v>
      </c>
      <c r="L116" s="227">
        <f t="shared" si="85"/>
        <v>0</v>
      </c>
      <c r="M116" s="227">
        <f t="shared" si="85"/>
        <v>0</v>
      </c>
      <c r="N116" s="227">
        <f t="shared" si="85"/>
        <v>0</v>
      </c>
      <c r="O116" s="288">
        <f t="shared" si="85"/>
        <v>0</v>
      </c>
      <c r="P116" s="227">
        <f t="shared" si="85"/>
        <v>0</v>
      </c>
      <c r="Q116" s="227">
        <f t="shared" si="85"/>
        <v>0</v>
      </c>
      <c r="R116" s="227">
        <f t="shared" si="85"/>
        <v>0</v>
      </c>
      <c r="S116" s="227">
        <f t="shared" si="85"/>
        <v>0</v>
      </c>
      <c r="T116" s="227">
        <f t="shared" si="85"/>
        <v>0</v>
      </c>
      <c r="U116" s="227">
        <f t="shared" si="85"/>
        <v>0</v>
      </c>
      <c r="V116" s="227">
        <f t="shared" si="85"/>
        <v>0</v>
      </c>
      <c r="W116" s="227">
        <f t="shared" si="85"/>
        <v>0</v>
      </c>
      <c r="X116" s="227">
        <f t="shared" si="85"/>
        <v>0</v>
      </c>
      <c r="Y116" s="227">
        <f t="shared" si="85"/>
        <v>0</v>
      </c>
      <c r="Z116" s="228">
        <f t="shared" si="85"/>
        <v>0</v>
      </c>
      <c r="AA116" s="288">
        <f t="shared" si="85"/>
        <v>0</v>
      </c>
      <c r="AB116" s="227">
        <f t="shared" si="85"/>
        <v>0</v>
      </c>
      <c r="AC116" s="227">
        <f t="shared" si="85"/>
        <v>0</v>
      </c>
      <c r="AD116" s="227">
        <f t="shared" si="85"/>
        <v>0</v>
      </c>
      <c r="AE116" s="227">
        <f t="shared" si="85"/>
        <v>0</v>
      </c>
      <c r="AF116" s="227">
        <f t="shared" si="85"/>
        <v>0</v>
      </c>
      <c r="AG116" s="227">
        <f t="shared" si="85"/>
        <v>0</v>
      </c>
      <c r="AH116" s="227">
        <f t="shared" si="85"/>
        <v>0</v>
      </c>
      <c r="AI116" s="227">
        <f t="shared" si="85"/>
        <v>0</v>
      </c>
      <c r="AJ116" s="227">
        <f t="shared" si="85"/>
        <v>0</v>
      </c>
      <c r="AK116" s="227">
        <f t="shared" si="85"/>
        <v>0</v>
      </c>
      <c r="AL116" s="228">
        <f t="shared" si="85"/>
        <v>0</v>
      </c>
      <c r="AM116" s="288">
        <f t="shared" si="85"/>
        <v>0</v>
      </c>
      <c r="AN116" s="227">
        <f t="shared" si="85"/>
        <v>0</v>
      </c>
      <c r="AO116" s="227">
        <f t="shared" si="85"/>
        <v>0</v>
      </c>
      <c r="AP116" s="227">
        <f t="shared" si="85"/>
        <v>0</v>
      </c>
      <c r="AQ116" s="227">
        <f t="shared" si="85"/>
        <v>0</v>
      </c>
      <c r="AR116" s="227">
        <f t="shared" si="85"/>
        <v>0</v>
      </c>
      <c r="AS116" s="227">
        <f t="shared" si="85"/>
        <v>0</v>
      </c>
      <c r="AT116" s="227">
        <f t="shared" si="85"/>
        <v>0</v>
      </c>
      <c r="AU116" s="227">
        <f t="shared" si="85"/>
        <v>0</v>
      </c>
      <c r="AV116" s="227">
        <f t="shared" si="85"/>
        <v>0</v>
      </c>
      <c r="AW116" s="227">
        <f t="shared" si="85"/>
        <v>0</v>
      </c>
      <c r="AX116" s="228">
        <f t="shared" si="85"/>
        <v>0</v>
      </c>
      <c r="AY116" s="288">
        <f t="shared" si="85"/>
        <v>0</v>
      </c>
      <c r="AZ116" s="227">
        <f t="shared" si="85"/>
        <v>0</v>
      </c>
      <c r="BA116" s="227">
        <f t="shared" si="85"/>
        <v>0</v>
      </c>
      <c r="BB116" s="227">
        <f t="shared" si="85"/>
        <v>0</v>
      </c>
      <c r="BC116" s="227">
        <f t="shared" si="85"/>
        <v>0</v>
      </c>
      <c r="BD116" s="227">
        <f t="shared" si="85"/>
        <v>0</v>
      </c>
      <c r="BE116" s="227">
        <f t="shared" si="85"/>
        <v>0</v>
      </c>
      <c r="BF116" s="227">
        <f t="shared" si="85"/>
        <v>0</v>
      </c>
      <c r="BG116" s="227">
        <f t="shared" si="85"/>
        <v>0</v>
      </c>
      <c r="BH116" s="227">
        <f t="shared" si="85"/>
        <v>0</v>
      </c>
      <c r="BI116" s="227">
        <f t="shared" si="85"/>
        <v>0</v>
      </c>
      <c r="BJ116" s="228">
        <f t="shared" si="85"/>
        <v>0</v>
      </c>
    </row>
    <row r="117" spans="2:62" ht="15.75">
      <c r="B117" s="235">
        <f t="shared" si="78"/>
        <v>0</v>
      </c>
      <c r="C117" s="227">
        <f t="shared" si="81"/>
        <v>0</v>
      </c>
      <c r="D117" s="227">
        <f t="shared" si="85"/>
        <v>0</v>
      </c>
      <c r="E117" s="227">
        <f t="shared" si="85"/>
        <v>0</v>
      </c>
      <c r="F117" s="227">
        <f t="shared" si="85"/>
        <v>0</v>
      </c>
      <c r="G117" s="227">
        <f t="shared" si="85"/>
        <v>0</v>
      </c>
      <c r="H117" s="227">
        <f t="shared" si="85"/>
        <v>0</v>
      </c>
      <c r="I117" s="227">
        <f t="shared" si="85"/>
        <v>0</v>
      </c>
      <c r="J117" s="227">
        <f t="shared" si="85"/>
        <v>0</v>
      </c>
      <c r="K117" s="227">
        <f t="shared" si="85"/>
        <v>0</v>
      </c>
      <c r="L117" s="227">
        <f t="shared" si="85"/>
        <v>0</v>
      </c>
      <c r="M117" s="227">
        <f t="shared" si="85"/>
        <v>0</v>
      </c>
      <c r="N117" s="227">
        <f t="shared" si="85"/>
        <v>0</v>
      </c>
      <c r="O117" s="288">
        <f t="shared" si="85"/>
        <v>0</v>
      </c>
      <c r="P117" s="227">
        <f t="shared" si="85"/>
        <v>0</v>
      </c>
      <c r="Q117" s="227">
        <f t="shared" si="85"/>
        <v>0</v>
      </c>
      <c r="R117" s="227">
        <f t="shared" si="85"/>
        <v>0</v>
      </c>
      <c r="S117" s="227">
        <f t="shared" si="85"/>
        <v>0</v>
      </c>
      <c r="T117" s="227">
        <f t="shared" si="85"/>
        <v>0</v>
      </c>
      <c r="U117" s="227">
        <f t="shared" si="85"/>
        <v>0</v>
      </c>
      <c r="V117" s="227">
        <f t="shared" si="85"/>
        <v>0</v>
      </c>
      <c r="W117" s="227">
        <f t="shared" si="85"/>
        <v>0</v>
      </c>
      <c r="X117" s="227">
        <f t="shared" si="85"/>
        <v>0</v>
      </c>
      <c r="Y117" s="227">
        <f t="shared" si="85"/>
        <v>0</v>
      </c>
      <c r="Z117" s="228">
        <f t="shared" si="85"/>
        <v>0</v>
      </c>
      <c r="AA117" s="288">
        <f t="shared" si="85"/>
        <v>0</v>
      </c>
      <c r="AB117" s="227">
        <f t="shared" si="85"/>
        <v>0</v>
      </c>
      <c r="AC117" s="227">
        <f t="shared" si="85"/>
        <v>0</v>
      </c>
      <c r="AD117" s="227">
        <f t="shared" si="85"/>
        <v>0</v>
      </c>
      <c r="AE117" s="227">
        <f t="shared" si="85"/>
        <v>0</v>
      </c>
      <c r="AF117" s="227">
        <f t="shared" si="85"/>
        <v>0</v>
      </c>
      <c r="AG117" s="227">
        <f t="shared" si="85"/>
        <v>0</v>
      </c>
      <c r="AH117" s="227">
        <f t="shared" si="85"/>
        <v>0</v>
      </c>
      <c r="AI117" s="227">
        <f t="shared" si="85"/>
        <v>0</v>
      </c>
      <c r="AJ117" s="227">
        <f t="shared" si="85"/>
        <v>0</v>
      </c>
      <c r="AK117" s="227">
        <f t="shared" si="85"/>
        <v>0</v>
      </c>
      <c r="AL117" s="228">
        <f t="shared" si="85"/>
        <v>0</v>
      </c>
      <c r="AM117" s="288">
        <f t="shared" si="85"/>
        <v>0</v>
      </c>
      <c r="AN117" s="227">
        <f t="shared" si="85"/>
        <v>0</v>
      </c>
      <c r="AO117" s="227">
        <f t="shared" si="85"/>
        <v>0</v>
      </c>
      <c r="AP117" s="227">
        <f t="shared" si="85"/>
        <v>0</v>
      </c>
      <c r="AQ117" s="227">
        <f t="shared" si="85"/>
        <v>0</v>
      </c>
      <c r="AR117" s="227">
        <f t="shared" si="85"/>
        <v>0</v>
      </c>
      <c r="AS117" s="227">
        <f t="shared" si="85"/>
        <v>0</v>
      </c>
      <c r="AT117" s="227">
        <f t="shared" si="85"/>
        <v>0</v>
      </c>
      <c r="AU117" s="227">
        <f t="shared" si="85"/>
        <v>0</v>
      </c>
      <c r="AV117" s="227">
        <f t="shared" si="85"/>
        <v>0</v>
      </c>
      <c r="AW117" s="227">
        <f t="shared" si="85"/>
        <v>0</v>
      </c>
      <c r="AX117" s="228">
        <f t="shared" si="85"/>
        <v>0</v>
      </c>
      <c r="AY117" s="288">
        <f t="shared" si="85"/>
        <v>0</v>
      </c>
      <c r="AZ117" s="227">
        <f t="shared" si="85"/>
        <v>0</v>
      </c>
      <c r="BA117" s="227">
        <f t="shared" si="85"/>
        <v>0</v>
      </c>
      <c r="BB117" s="227">
        <f t="shared" si="85"/>
        <v>0</v>
      </c>
      <c r="BC117" s="227">
        <f t="shared" si="85"/>
        <v>0</v>
      </c>
      <c r="BD117" s="227">
        <f t="shared" si="85"/>
        <v>0</v>
      </c>
      <c r="BE117" s="227">
        <f t="shared" si="85"/>
        <v>0</v>
      </c>
      <c r="BF117" s="227">
        <f t="shared" si="85"/>
        <v>0</v>
      </c>
      <c r="BG117" s="227">
        <f t="shared" si="85"/>
        <v>0</v>
      </c>
      <c r="BH117" s="227">
        <f t="shared" si="85"/>
        <v>0</v>
      </c>
      <c r="BI117" s="227">
        <f t="shared" si="85"/>
        <v>0</v>
      </c>
      <c r="BJ117" s="228">
        <f t="shared" si="85"/>
        <v>0</v>
      </c>
    </row>
    <row r="118" spans="2:62" ht="15.75">
      <c r="B118" s="235">
        <f t="shared" si="78"/>
        <v>0</v>
      </c>
      <c r="C118" s="227">
        <f t="shared" si="81"/>
        <v>0</v>
      </c>
      <c r="D118" s="227">
        <f t="shared" si="85"/>
        <v>0</v>
      </c>
      <c r="E118" s="227">
        <f t="shared" si="85"/>
        <v>0</v>
      </c>
      <c r="F118" s="227">
        <f t="shared" si="85"/>
        <v>0</v>
      </c>
      <c r="G118" s="227">
        <f t="shared" si="85"/>
        <v>0</v>
      </c>
      <c r="H118" s="227">
        <f t="shared" si="85"/>
        <v>0</v>
      </c>
      <c r="I118" s="227">
        <f t="shared" si="85"/>
        <v>0</v>
      </c>
      <c r="J118" s="227">
        <f t="shared" si="85"/>
        <v>0</v>
      </c>
      <c r="K118" s="227">
        <f t="shared" si="85"/>
        <v>0</v>
      </c>
      <c r="L118" s="227">
        <f t="shared" si="85"/>
        <v>0</v>
      </c>
      <c r="M118" s="227">
        <f t="shared" si="85"/>
        <v>0</v>
      </c>
      <c r="N118" s="227">
        <f t="shared" si="85"/>
        <v>0</v>
      </c>
      <c r="O118" s="288">
        <f t="shared" si="85"/>
        <v>0</v>
      </c>
      <c r="P118" s="227">
        <f t="shared" si="85"/>
        <v>0</v>
      </c>
      <c r="Q118" s="227">
        <f t="shared" si="85"/>
        <v>0</v>
      </c>
      <c r="R118" s="227">
        <f t="shared" si="85"/>
        <v>0</v>
      </c>
      <c r="S118" s="227">
        <f t="shared" si="85"/>
        <v>0</v>
      </c>
      <c r="T118" s="227">
        <f t="shared" si="85"/>
        <v>0</v>
      </c>
      <c r="U118" s="227">
        <f t="shared" si="85"/>
        <v>0</v>
      </c>
      <c r="V118" s="227">
        <f t="shared" si="85"/>
        <v>0</v>
      </c>
      <c r="W118" s="227">
        <f t="shared" si="85"/>
        <v>0</v>
      </c>
      <c r="X118" s="227">
        <f t="shared" si="85"/>
        <v>0</v>
      </c>
      <c r="Y118" s="227">
        <f t="shared" si="85"/>
        <v>0</v>
      </c>
      <c r="Z118" s="228">
        <f t="shared" si="85"/>
        <v>0</v>
      </c>
      <c r="AA118" s="288">
        <f t="shared" si="85"/>
        <v>0</v>
      </c>
      <c r="AB118" s="227">
        <f t="shared" si="85"/>
        <v>0</v>
      </c>
      <c r="AC118" s="227">
        <f t="shared" si="85"/>
        <v>0</v>
      </c>
      <c r="AD118" s="227">
        <f t="shared" si="85"/>
        <v>0</v>
      </c>
      <c r="AE118" s="227">
        <f t="shared" si="85"/>
        <v>0</v>
      </c>
      <c r="AF118" s="227">
        <f t="shared" si="85"/>
        <v>0</v>
      </c>
      <c r="AG118" s="227">
        <f t="shared" si="85"/>
        <v>0</v>
      </c>
      <c r="AH118" s="227">
        <f t="shared" si="85"/>
        <v>0</v>
      </c>
      <c r="AI118" s="227">
        <f t="shared" si="85"/>
        <v>0</v>
      </c>
      <c r="AJ118" s="227">
        <f t="shared" si="85"/>
        <v>0</v>
      </c>
      <c r="AK118" s="227">
        <f t="shared" si="85"/>
        <v>0</v>
      </c>
      <c r="AL118" s="228">
        <f t="shared" si="85"/>
        <v>0</v>
      </c>
      <c r="AM118" s="288">
        <f t="shared" si="85"/>
        <v>0</v>
      </c>
      <c r="AN118" s="227">
        <f t="shared" si="85"/>
        <v>0</v>
      </c>
      <c r="AO118" s="227">
        <f t="shared" si="85"/>
        <v>0</v>
      </c>
      <c r="AP118" s="227">
        <f t="shared" si="85"/>
        <v>0</v>
      </c>
      <c r="AQ118" s="227">
        <f t="shared" si="85"/>
        <v>0</v>
      </c>
      <c r="AR118" s="227">
        <f t="shared" si="85"/>
        <v>0</v>
      </c>
      <c r="AS118" s="227">
        <f t="shared" si="85"/>
        <v>0</v>
      </c>
      <c r="AT118" s="227">
        <f t="shared" si="85"/>
        <v>0</v>
      </c>
      <c r="AU118" s="227">
        <f t="shared" si="85"/>
        <v>0</v>
      </c>
      <c r="AV118" s="227">
        <f t="shared" si="85"/>
        <v>0</v>
      </c>
      <c r="AW118" s="227">
        <f t="shared" si="85"/>
        <v>0</v>
      </c>
      <c r="AX118" s="228">
        <f t="shared" si="85"/>
        <v>0</v>
      </c>
      <c r="AY118" s="288">
        <f t="shared" si="85"/>
        <v>0</v>
      </c>
      <c r="AZ118" s="227">
        <f t="shared" si="85"/>
        <v>0</v>
      </c>
      <c r="BA118" s="227">
        <f t="shared" si="85"/>
        <v>0</v>
      </c>
      <c r="BB118" s="227">
        <f t="shared" si="85"/>
        <v>0</v>
      </c>
      <c r="BC118" s="227">
        <f t="shared" si="85"/>
        <v>0</v>
      </c>
      <c r="BD118" s="227">
        <f t="shared" si="85"/>
        <v>0</v>
      </c>
      <c r="BE118" s="227">
        <f t="shared" si="85"/>
        <v>0</v>
      </c>
      <c r="BF118" s="227">
        <f t="shared" si="85"/>
        <v>0</v>
      </c>
      <c r="BG118" s="227">
        <f t="shared" si="85"/>
        <v>0</v>
      </c>
      <c r="BH118" s="227">
        <f t="shared" si="85"/>
        <v>0</v>
      </c>
      <c r="BI118" s="227">
        <f t="shared" si="85"/>
        <v>0</v>
      </c>
      <c r="BJ118" s="228">
        <f t="shared" si="85"/>
        <v>0</v>
      </c>
    </row>
    <row r="119" spans="2:62" ht="16.2" thickBot="1">
      <c r="B119" s="241"/>
      <c r="C119" s="229"/>
      <c r="D119" s="229"/>
      <c r="E119" s="229"/>
      <c r="F119" s="229"/>
      <c r="G119" s="229"/>
      <c r="H119" s="229"/>
      <c r="I119" s="229"/>
      <c r="J119" s="229"/>
      <c r="K119" s="229"/>
      <c r="L119" s="229"/>
      <c r="M119" s="229"/>
      <c r="N119" s="229"/>
      <c r="O119" s="289"/>
      <c r="P119" s="229"/>
      <c r="Q119" s="229"/>
      <c r="R119" s="229"/>
      <c r="S119" s="229"/>
      <c r="T119" s="229"/>
      <c r="U119" s="229"/>
      <c r="V119" s="229"/>
      <c r="W119" s="229"/>
      <c r="X119" s="229"/>
      <c r="Y119" s="229"/>
      <c r="Z119" s="230"/>
      <c r="AA119" s="289"/>
      <c r="AB119" s="229"/>
      <c r="AC119" s="229"/>
      <c r="AD119" s="229"/>
      <c r="AE119" s="229"/>
      <c r="AF119" s="229"/>
      <c r="AG119" s="229"/>
      <c r="AH119" s="229"/>
      <c r="AI119" s="229"/>
      <c r="AJ119" s="229"/>
      <c r="AK119" s="229"/>
      <c r="AL119" s="230"/>
      <c r="AM119" s="289"/>
      <c r="AN119" s="229"/>
      <c r="AO119" s="229"/>
      <c r="AP119" s="229"/>
      <c r="AQ119" s="229"/>
      <c r="AR119" s="229"/>
      <c r="AS119" s="229"/>
      <c r="AT119" s="229"/>
      <c r="AU119" s="229"/>
      <c r="AV119" s="229"/>
      <c r="AW119" s="229"/>
      <c r="AX119" s="230"/>
      <c r="AY119" s="289"/>
      <c r="AZ119" s="229"/>
      <c r="BA119" s="229"/>
      <c r="BB119" s="229"/>
      <c r="BC119" s="229"/>
      <c r="BD119" s="229"/>
      <c r="BE119" s="229"/>
      <c r="BF119" s="229"/>
      <c r="BG119" s="229"/>
      <c r="BH119" s="229"/>
      <c r="BI119" s="229"/>
      <c r="BJ119" s="230"/>
    </row>
    <row r="120" spans="2:62" ht="15.75">
      <c r="B120" s="233"/>
      <c r="C120" s="231"/>
      <c r="D120" s="231"/>
      <c r="E120" s="231"/>
      <c r="F120" s="482"/>
      <c r="G120" s="483"/>
      <c r="H120" s="231"/>
      <c r="I120" s="231"/>
      <c r="J120" s="231"/>
      <c r="K120" s="231"/>
      <c r="L120" s="231"/>
      <c r="M120" s="231"/>
      <c r="N120" s="231"/>
      <c r="O120" s="231"/>
      <c r="P120" s="231"/>
      <c r="Q120" s="231"/>
      <c r="R120" s="357"/>
      <c r="S120" s="357"/>
      <c r="T120" s="357"/>
      <c r="U120" s="357"/>
      <c r="V120" s="357"/>
      <c r="W120" s="357"/>
      <c r="X120" s="357"/>
      <c r="Y120" s="357"/>
      <c r="Z120" s="357"/>
      <c r="AA120" s="357"/>
      <c r="AB120" s="357"/>
      <c r="AC120" s="357"/>
      <c r="AD120" s="357"/>
      <c r="AE120" s="357"/>
      <c r="AF120" s="357"/>
      <c r="AG120" s="357"/>
      <c r="AH120" s="357"/>
      <c r="AI120" s="357"/>
      <c r="AJ120" s="357"/>
      <c r="AK120" s="357"/>
      <c r="AL120" s="357"/>
      <c r="AM120" s="357"/>
      <c r="AN120" s="357"/>
      <c r="AO120" s="357"/>
      <c r="AP120" s="357"/>
      <c r="AQ120" s="357"/>
      <c r="AR120" s="357"/>
      <c r="AS120" s="357"/>
      <c r="AT120" s="357"/>
      <c r="AU120" s="357"/>
      <c r="AV120" s="357"/>
      <c r="AW120" s="357"/>
      <c r="AX120" s="357"/>
      <c r="AY120" s="406"/>
      <c r="AZ120" s="406"/>
      <c r="BA120" s="406"/>
      <c r="BB120" s="406"/>
      <c r="BC120" s="406"/>
      <c r="BD120" s="406"/>
      <c r="BE120" s="406"/>
      <c r="BF120" s="406"/>
      <c r="BG120" s="406"/>
      <c r="BH120" s="406"/>
      <c r="BI120" s="406"/>
      <c r="BJ120" s="406"/>
    </row>
    <row r="121" ht="16.2" thickBot="1"/>
    <row r="122" spans="2:62" ht="15.75">
      <c r="B122" s="1603" t="s">
        <v>167</v>
      </c>
      <c r="C122" s="1579">
        <f>+C93</f>
        <v>2020</v>
      </c>
      <c r="D122" s="1579"/>
      <c r="E122" s="1579"/>
      <c r="F122" s="1579"/>
      <c r="G122" s="1579"/>
      <c r="H122" s="1579"/>
      <c r="I122" s="1579"/>
      <c r="J122" s="1579"/>
      <c r="K122" s="1579"/>
      <c r="L122" s="1579"/>
      <c r="M122" s="1579"/>
      <c r="N122" s="1579"/>
      <c r="O122" s="1595">
        <f>+O93</f>
        <v>2021</v>
      </c>
      <c r="P122" s="1579"/>
      <c r="Q122" s="1579"/>
      <c r="R122" s="1579"/>
      <c r="S122" s="1579"/>
      <c r="T122" s="1579"/>
      <c r="U122" s="1579"/>
      <c r="V122" s="1579"/>
      <c r="W122" s="1579"/>
      <c r="X122" s="1579"/>
      <c r="Y122" s="1579"/>
      <c r="Z122" s="1580"/>
      <c r="AA122" s="1595">
        <f>+AA93</f>
        <v>2022</v>
      </c>
      <c r="AB122" s="1579"/>
      <c r="AC122" s="1579"/>
      <c r="AD122" s="1579"/>
      <c r="AE122" s="1579"/>
      <c r="AF122" s="1579"/>
      <c r="AG122" s="1579"/>
      <c r="AH122" s="1579"/>
      <c r="AI122" s="1579"/>
      <c r="AJ122" s="1579"/>
      <c r="AK122" s="1579"/>
      <c r="AL122" s="1580"/>
      <c r="AM122" s="1595">
        <f>+AM93</f>
        <v>2023</v>
      </c>
      <c r="AN122" s="1579"/>
      <c r="AO122" s="1579"/>
      <c r="AP122" s="1579"/>
      <c r="AQ122" s="1579"/>
      <c r="AR122" s="1579"/>
      <c r="AS122" s="1579"/>
      <c r="AT122" s="1579"/>
      <c r="AU122" s="1579"/>
      <c r="AV122" s="1579"/>
      <c r="AW122" s="1579"/>
      <c r="AX122" s="1580"/>
      <c r="AY122" s="1595">
        <f>+AY93</f>
        <v>2024</v>
      </c>
      <c r="AZ122" s="1579"/>
      <c r="BA122" s="1579"/>
      <c r="BB122" s="1579"/>
      <c r="BC122" s="1579"/>
      <c r="BD122" s="1579"/>
      <c r="BE122" s="1579"/>
      <c r="BF122" s="1579"/>
      <c r="BG122" s="1579"/>
      <c r="BH122" s="1579"/>
      <c r="BI122" s="1579"/>
      <c r="BJ122" s="1580"/>
    </row>
    <row r="123" spans="2:62" ht="16.2" thickBot="1">
      <c r="B123" s="1604"/>
      <c r="C123" s="1581"/>
      <c r="D123" s="1581"/>
      <c r="E123" s="1581"/>
      <c r="F123" s="1581"/>
      <c r="G123" s="1581"/>
      <c r="H123" s="1581"/>
      <c r="I123" s="1581"/>
      <c r="J123" s="1581"/>
      <c r="K123" s="1581"/>
      <c r="L123" s="1581"/>
      <c r="M123" s="1581"/>
      <c r="N123" s="1581"/>
      <c r="O123" s="1596"/>
      <c r="P123" s="1581"/>
      <c r="Q123" s="1581"/>
      <c r="R123" s="1581"/>
      <c r="S123" s="1581"/>
      <c r="T123" s="1581"/>
      <c r="U123" s="1581"/>
      <c r="V123" s="1581"/>
      <c r="W123" s="1581"/>
      <c r="X123" s="1581"/>
      <c r="Y123" s="1581"/>
      <c r="Z123" s="1582"/>
      <c r="AA123" s="1596"/>
      <c r="AB123" s="1581"/>
      <c r="AC123" s="1581"/>
      <c r="AD123" s="1581"/>
      <c r="AE123" s="1581"/>
      <c r="AF123" s="1581"/>
      <c r="AG123" s="1581"/>
      <c r="AH123" s="1581"/>
      <c r="AI123" s="1581"/>
      <c r="AJ123" s="1581"/>
      <c r="AK123" s="1581"/>
      <c r="AL123" s="1582"/>
      <c r="AM123" s="1596"/>
      <c r="AN123" s="1581"/>
      <c r="AO123" s="1581"/>
      <c r="AP123" s="1581"/>
      <c r="AQ123" s="1581"/>
      <c r="AR123" s="1581"/>
      <c r="AS123" s="1581"/>
      <c r="AT123" s="1581"/>
      <c r="AU123" s="1581"/>
      <c r="AV123" s="1581"/>
      <c r="AW123" s="1581"/>
      <c r="AX123" s="1582"/>
      <c r="AY123" s="1596"/>
      <c r="AZ123" s="1581"/>
      <c r="BA123" s="1581"/>
      <c r="BB123" s="1581"/>
      <c r="BC123" s="1581"/>
      <c r="BD123" s="1581"/>
      <c r="BE123" s="1581"/>
      <c r="BF123" s="1581"/>
      <c r="BG123" s="1581"/>
      <c r="BH123" s="1581"/>
      <c r="BI123" s="1581"/>
      <c r="BJ123" s="1582"/>
    </row>
    <row r="124" spans="2:62" ht="16.2" thickBot="1">
      <c r="B124" s="1604"/>
      <c r="C124" s="275" t="s">
        <v>187</v>
      </c>
      <c r="D124" s="275" t="s">
        <v>188</v>
      </c>
      <c r="E124" s="275" t="s">
        <v>189</v>
      </c>
      <c r="F124" s="275" t="s">
        <v>190</v>
      </c>
      <c r="G124" s="275" t="s">
        <v>8</v>
      </c>
      <c r="H124" s="275" t="s">
        <v>191</v>
      </c>
      <c r="I124" s="275" t="s">
        <v>192</v>
      </c>
      <c r="J124" s="275" t="s">
        <v>193</v>
      </c>
      <c r="K124" s="275" t="s">
        <v>194</v>
      </c>
      <c r="L124" s="275" t="s">
        <v>195</v>
      </c>
      <c r="M124" s="275" t="s">
        <v>196</v>
      </c>
      <c r="N124" s="275" t="s">
        <v>197</v>
      </c>
      <c r="O124" s="274" t="s">
        <v>187</v>
      </c>
      <c r="P124" s="275" t="s">
        <v>188</v>
      </c>
      <c r="Q124" s="275" t="s">
        <v>189</v>
      </c>
      <c r="R124" s="275" t="s">
        <v>190</v>
      </c>
      <c r="S124" s="275" t="s">
        <v>8</v>
      </c>
      <c r="T124" s="275" t="s">
        <v>191</v>
      </c>
      <c r="U124" s="275" t="s">
        <v>192</v>
      </c>
      <c r="V124" s="275" t="s">
        <v>193</v>
      </c>
      <c r="W124" s="275" t="s">
        <v>194</v>
      </c>
      <c r="X124" s="275" t="s">
        <v>195</v>
      </c>
      <c r="Y124" s="275" t="s">
        <v>196</v>
      </c>
      <c r="Z124" s="276" t="s">
        <v>197</v>
      </c>
      <c r="AA124" s="274" t="s">
        <v>187</v>
      </c>
      <c r="AB124" s="275" t="s">
        <v>188</v>
      </c>
      <c r="AC124" s="275" t="s">
        <v>189</v>
      </c>
      <c r="AD124" s="275" t="s">
        <v>190</v>
      </c>
      <c r="AE124" s="275" t="s">
        <v>8</v>
      </c>
      <c r="AF124" s="275" t="s">
        <v>191</v>
      </c>
      <c r="AG124" s="275" t="s">
        <v>192</v>
      </c>
      <c r="AH124" s="275" t="s">
        <v>193</v>
      </c>
      <c r="AI124" s="275" t="s">
        <v>194</v>
      </c>
      <c r="AJ124" s="275" t="s">
        <v>195</v>
      </c>
      <c r="AK124" s="275" t="s">
        <v>196</v>
      </c>
      <c r="AL124" s="276" t="s">
        <v>197</v>
      </c>
      <c r="AM124" s="274" t="s">
        <v>187</v>
      </c>
      <c r="AN124" s="275" t="s">
        <v>188</v>
      </c>
      <c r="AO124" s="275" t="s">
        <v>189</v>
      </c>
      <c r="AP124" s="275" t="s">
        <v>190</v>
      </c>
      <c r="AQ124" s="275" t="s">
        <v>8</v>
      </c>
      <c r="AR124" s="275" t="s">
        <v>191</v>
      </c>
      <c r="AS124" s="275" t="s">
        <v>192</v>
      </c>
      <c r="AT124" s="275" t="s">
        <v>193</v>
      </c>
      <c r="AU124" s="275" t="s">
        <v>194</v>
      </c>
      <c r="AV124" s="275" t="s">
        <v>195</v>
      </c>
      <c r="AW124" s="275" t="s">
        <v>196</v>
      </c>
      <c r="AX124" s="276" t="s">
        <v>197</v>
      </c>
      <c r="AY124" s="414" t="s">
        <v>187</v>
      </c>
      <c r="AZ124" s="275" t="s">
        <v>188</v>
      </c>
      <c r="BA124" s="275" t="s">
        <v>189</v>
      </c>
      <c r="BB124" s="275" t="s">
        <v>190</v>
      </c>
      <c r="BC124" s="275" t="s">
        <v>8</v>
      </c>
      <c r="BD124" s="275" t="s">
        <v>191</v>
      </c>
      <c r="BE124" s="275" t="s">
        <v>192</v>
      </c>
      <c r="BF124" s="275" t="s">
        <v>193</v>
      </c>
      <c r="BG124" s="275" t="s">
        <v>194</v>
      </c>
      <c r="BH124" s="275" t="s">
        <v>195</v>
      </c>
      <c r="BI124" s="275" t="s">
        <v>196</v>
      </c>
      <c r="BJ124" s="415" t="s">
        <v>197</v>
      </c>
    </row>
    <row r="125" spans="2:62" ht="15.75">
      <c r="B125" s="238" t="s">
        <v>163</v>
      </c>
      <c r="C125" s="239">
        <f aca="true" t="shared" si="86" ref="C125:AH125">SUM(C126:C148)</f>
        <v>820.1699989269423</v>
      </c>
      <c r="D125" s="239">
        <f t="shared" si="86"/>
        <v>820.1699989269423</v>
      </c>
      <c r="E125" s="239">
        <f t="shared" si="86"/>
        <v>630.7111</v>
      </c>
      <c r="F125" s="239">
        <f t="shared" si="86"/>
        <v>578.22</v>
      </c>
      <c r="G125" s="239">
        <f t="shared" si="86"/>
        <v>420.4438</v>
      </c>
      <c r="H125" s="239">
        <f t="shared" si="86"/>
        <v>420.4438</v>
      </c>
      <c r="I125" s="239">
        <f t="shared" si="86"/>
        <v>262.7584</v>
      </c>
      <c r="J125" s="239">
        <f t="shared" si="86"/>
        <v>262.7584</v>
      </c>
      <c r="K125" s="239">
        <f t="shared" si="86"/>
        <v>1536.3333333333333</v>
      </c>
      <c r="L125" s="239">
        <f t="shared" si="86"/>
        <v>2041.1666666666665</v>
      </c>
      <c r="M125" s="239">
        <f t="shared" si="86"/>
        <v>2041.1666666666665</v>
      </c>
      <c r="N125" s="239">
        <f t="shared" si="86"/>
        <v>2041.1666666666665</v>
      </c>
      <c r="O125" s="287">
        <f t="shared" si="86"/>
        <v>3656.633333333333</v>
      </c>
      <c r="P125" s="239">
        <f t="shared" si="86"/>
        <v>3656.633333333333</v>
      </c>
      <c r="Q125" s="239">
        <f t="shared" si="86"/>
        <v>3656.633333333333</v>
      </c>
      <c r="R125" s="239">
        <f t="shared" si="86"/>
        <v>3656.633333333333</v>
      </c>
      <c r="S125" s="239">
        <f t="shared" si="86"/>
        <v>3656.633333333333</v>
      </c>
      <c r="T125" s="239">
        <f t="shared" si="86"/>
        <v>3656.633333333333</v>
      </c>
      <c r="U125" s="239">
        <f t="shared" si="86"/>
        <v>3656.633333333333</v>
      </c>
      <c r="V125" s="239">
        <f t="shared" si="86"/>
        <v>3656.633333333333</v>
      </c>
      <c r="W125" s="239">
        <f t="shared" si="86"/>
        <v>3656.633333333333</v>
      </c>
      <c r="X125" s="239">
        <f t="shared" si="86"/>
        <v>3656.633333333333</v>
      </c>
      <c r="Y125" s="239">
        <f t="shared" si="86"/>
        <v>3656.633333333333</v>
      </c>
      <c r="Z125" s="240">
        <f t="shared" si="86"/>
        <v>3656.633333333333</v>
      </c>
      <c r="AA125" s="287">
        <f t="shared" si="86"/>
        <v>6516.508333333333</v>
      </c>
      <c r="AB125" s="239">
        <f t="shared" si="86"/>
        <v>6516.508333333333</v>
      </c>
      <c r="AC125" s="239">
        <f t="shared" si="86"/>
        <v>6516.508333333333</v>
      </c>
      <c r="AD125" s="239">
        <f t="shared" si="86"/>
        <v>6516.508333333333</v>
      </c>
      <c r="AE125" s="239">
        <f t="shared" si="86"/>
        <v>6516.508333333333</v>
      </c>
      <c r="AF125" s="239">
        <f t="shared" si="86"/>
        <v>6516.508333333333</v>
      </c>
      <c r="AG125" s="239">
        <f t="shared" si="86"/>
        <v>6516.508333333333</v>
      </c>
      <c r="AH125" s="239">
        <f t="shared" si="86"/>
        <v>6516.508333333333</v>
      </c>
      <c r="AI125" s="239">
        <f aca="true" t="shared" si="87" ref="AI125:BJ125">SUM(AI126:AI148)</f>
        <v>6516.508333333333</v>
      </c>
      <c r="AJ125" s="239">
        <f t="shared" si="87"/>
        <v>6516.508333333333</v>
      </c>
      <c r="AK125" s="239">
        <f t="shared" si="87"/>
        <v>6516.508333333333</v>
      </c>
      <c r="AL125" s="240">
        <f t="shared" si="87"/>
        <v>6516.508333333333</v>
      </c>
      <c r="AM125" s="287">
        <f t="shared" si="87"/>
        <v>6662.066666666667</v>
      </c>
      <c r="AN125" s="239">
        <f t="shared" si="87"/>
        <v>6662.066666666667</v>
      </c>
      <c r="AO125" s="239">
        <f t="shared" si="87"/>
        <v>6662.066666666667</v>
      </c>
      <c r="AP125" s="239">
        <f t="shared" si="87"/>
        <v>6662.066666666667</v>
      </c>
      <c r="AQ125" s="239">
        <f t="shared" si="87"/>
        <v>6662.066666666667</v>
      </c>
      <c r="AR125" s="239">
        <f t="shared" si="87"/>
        <v>6662.066666666667</v>
      </c>
      <c r="AS125" s="239">
        <f t="shared" si="87"/>
        <v>6662.066666666667</v>
      </c>
      <c r="AT125" s="239">
        <f t="shared" si="87"/>
        <v>6662.066666666667</v>
      </c>
      <c r="AU125" s="239">
        <f t="shared" si="87"/>
        <v>6662.066666666667</v>
      </c>
      <c r="AV125" s="239">
        <f t="shared" si="87"/>
        <v>6662.066666666667</v>
      </c>
      <c r="AW125" s="239">
        <f t="shared" si="87"/>
        <v>6662.066666666667</v>
      </c>
      <c r="AX125" s="240">
        <f t="shared" si="87"/>
        <v>6662.066666666667</v>
      </c>
      <c r="AY125" s="287">
        <f t="shared" si="87"/>
        <v>7900.583333333334</v>
      </c>
      <c r="AZ125" s="239">
        <f t="shared" si="87"/>
        <v>7900.583333333334</v>
      </c>
      <c r="BA125" s="239">
        <f t="shared" si="87"/>
        <v>7900.583333333334</v>
      </c>
      <c r="BB125" s="239">
        <f t="shared" si="87"/>
        <v>7900.583333333334</v>
      </c>
      <c r="BC125" s="239">
        <f t="shared" si="87"/>
        <v>7900.583333333334</v>
      </c>
      <c r="BD125" s="239">
        <f t="shared" si="87"/>
        <v>7900.583333333334</v>
      </c>
      <c r="BE125" s="239">
        <f t="shared" si="87"/>
        <v>7900.583333333334</v>
      </c>
      <c r="BF125" s="239">
        <f t="shared" si="87"/>
        <v>7900.583333333334</v>
      </c>
      <c r="BG125" s="239">
        <f t="shared" si="87"/>
        <v>7900.583333333334</v>
      </c>
      <c r="BH125" s="239">
        <f t="shared" si="87"/>
        <v>7900.583333333334</v>
      </c>
      <c r="BI125" s="239">
        <f t="shared" si="87"/>
        <v>7900.583333333334</v>
      </c>
      <c r="BJ125" s="240">
        <f t="shared" si="87"/>
        <v>7900.583333333334</v>
      </c>
    </row>
    <row r="126" spans="2:62" ht="15.75">
      <c r="B126" s="215" t="str">
        <f aca="true" t="shared" si="88" ref="B126:B147">B11</f>
        <v>CEO</v>
      </c>
      <c r="C126" s="227">
        <f>+C68*($C$4+$C$5)</f>
        <v>367.67105448249794</v>
      </c>
      <c r="D126" s="227">
        <f aca="true" t="shared" si="89" ref="D126:BJ126">+D68*($C$4+$C$5)</f>
        <v>367.67105448249794</v>
      </c>
      <c r="E126" s="227">
        <f t="shared" si="89"/>
        <v>174.8466</v>
      </c>
      <c r="F126" s="227">
        <f t="shared" si="89"/>
        <v>160.218</v>
      </c>
      <c r="G126" s="227">
        <f t="shared" si="89"/>
        <v>116.3322</v>
      </c>
      <c r="H126" s="227">
        <f t="shared" si="89"/>
        <v>116.3322</v>
      </c>
      <c r="I126" s="227">
        <f t="shared" si="89"/>
        <v>73.143</v>
      </c>
      <c r="J126" s="227">
        <f t="shared" si="89"/>
        <v>73.143</v>
      </c>
      <c r="K126" s="227">
        <f t="shared" si="89"/>
        <v>425.7</v>
      </c>
      <c r="L126" s="227">
        <f t="shared" si="89"/>
        <v>425.7</v>
      </c>
      <c r="M126" s="227">
        <f t="shared" si="89"/>
        <v>425.7</v>
      </c>
      <c r="N126" s="227">
        <f t="shared" si="89"/>
        <v>425.7</v>
      </c>
      <c r="O126" s="288">
        <f t="shared" si="89"/>
        <v>425.7</v>
      </c>
      <c r="P126" s="227">
        <f t="shared" si="89"/>
        <v>425.7</v>
      </c>
      <c r="Q126" s="227">
        <f t="shared" si="89"/>
        <v>425.7</v>
      </c>
      <c r="R126" s="227">
        <f>+R68*($C$4+$C$5)</f>
        <v>425.7</v>
      </c>
      <c r="S126" s="227">
        <f t="shared" si="89"/>
        <v>425.7</v>
      </c>
      <c r="T126" s="227">
        <f t="shared" si="89"/>
        <v>425.7</v>
      </c>
      <c r="U126" s="227">
        <f t="shared" si="89"/>
        <v>425.7</v>
      </c>
      <c r="V126" s="227">
        <f t="shared" si="89"/>
        <v>425.7</v>
      </c>
      <c r="W126" s="227">
        <f t="shared" si="89"/>
        <v>425.7</v>
      </c>
      <c r="X126" s="227">
        <f t="shared" si="89"/>
        <v>425.7</v>
      </c>
      <c r="Y126" s="227">
        <f t="shared" si="89"/>
        <v>425.7</v>
      </c>
      <c r="Z126" s="228">
        <f t="shared" si="89"/>
        <v>425.7</v>
      </c>
      <c r="AA126" s="288">
        <f t="shared" si="89"/>
        <v>483.75</v>
      </c>
      <c r="AB126" s="227">
        <f t="shared" si="89"/>
        <v>483.75</v>
      </c>
      <c r="AC126" s="227">
        <f t="shared" si="89"/>
        <v>483.75</v>
      </c>
      <c r="AD126" s="227">
        <f t="shared" si="89"/>
        <v>483.75</v>
      </c>
      <c r="AE126" s="227">
        <f t="shared" si="89"/>
        <v>483.75</v>
      </c>
      <c r="AF126" s="227">
        <f t="shared" si="89"/>
        <v>483.75</v>
      </c>
      <c r="AG126" s="227">
        <f t="shared" si="89"/>
        <v>483.75</v>
      </c>
      <c r="AH126" s="227">
        <f t="shared" si="89"/>
        <v>483.75</v>
      </c>
      <c r="AI126" s="227">
        <f t="shared" si="89"/>
        <v>483.75</v>
      </c>
      <c r="AJ126" s="227">
        <f t="shared" si="89"/>
        <v>483.75</v>
      </c>
      <c r="AK126" s="227">
        <f t="shared" si="89"/>
        <v>483.75</v>
      </c>
      <c r="AL126" s="228">
        <f t="shared" si="89"/>
        <v>483.75</v>
      </c>
      <c r="AM126" s="288">
        <f t="shared" si="89"/>
        <v>503.09999999999997</v>
      </c>
      <c r="AN126" s="227">
        <f t="shared" si="89"/>
        <v>503.09999999999997</v>
      </c>
      <c r="AO126" s="227">
        <f t="shared" si="89"/>
        <v>503.09999999999997</v>
      </c>
      <c r="AP126" s="227">
        <f t="shared" si="89"/>
        <v>503.09999999999997</v>
      </c>
      <c r="AQ126" s="227">
        <f t="shared" si="89"/>
        <v>503.09999999999997</v>
      </c>
      <c r="AR126" s="227">
        <f t="shared" si="89"/>
        <v>503.09999999999997</v>
      </c>
      <c r="AS126" s="227">
        <f t="shared" si="89"/>
        <v>503.09999999999997</v>
      </c>
      <c r="AT126" s="227">
        <f t="shared" si="89"/>
        <v>503.09999999999997</v>
      </c>
      <c r="AU126" s="227">
        <f t="shared" si="89"/>
        <v>503.09999999999997</v>
      </c>
      <c r="AV126" s="227">
        <f t="shared" si="89"/>
        <v>503.09999999999997</v>
      </c>
      <c r="AW126" s="227">
        <f t="shared" si="89"/>
        <v>503.09999999999997</v>
      </c>
      <c r="AX126" s="228">
        <f t="shared" si="89"/>
        <v>503.09999999999997</v>
      </c>
      <c r="AY126" s="288">
        <f t="shared" si="89"/>
        <v>580.5</v>
      </c>
      <c r="AZ126" s="227">
        <f t="shared" si="89"/>
        <v>580.5</v>
      </c>
      <c r="BA126" s="227">
        <f t="shared" si="89"/>
        <v>580.5</v>
      </c>
      <c r="BB126" s="227">
        <f t="shared" si="89"/>
        <v>580.5</v>
      </c>
      <c r="BC126" s="227">
        <f t="shared" si="89"/>
        <v>580.5</v>
      </c>
      <c r="BD126" s="227">
        <f t="shared" si="89"/>
        <v>580.5</v>
      </c>
      <c r="BE126" s="227">
        <f t="shared" si="89"/>
        <v>580.5</v>
      </c>
      <c r="BF126" s="227">
        <f t="shared" si="89"/>
        <v>580.5</v>
      </c>
      <c r="BG126" s="227">
        <f t="shared" si="89"/>
        <v>580.5</v>
      </c>
      <c r="BH126" s="227">
        <f t="shared" si="89"/>
        <v>580.5</v>
      </c>
      <c r="BI126" s="227">
        <f t="shared" si="89"/>
        <v>580.5</v>
      </c>
      <c r="BJ126" s="228">
        <f t="shared" si="89"/>
        <v>580.5</v>
      </c>
    </row>
    <row r="127" spans="2:62" ht="15.75">
      <c r="B127" s="215" t="str">
        <f t="shared" si="88"/>
        <v>COO</v>
      </c>
      <c r="C127" s="227">
        <f aca="true" t="shared" si="90" ref="C127:AH127">+C69*($D$5+$D$4)</f>
        <v>226.24947222222218</v>
      </c>
      <c r="D127" s="227">
        <f t="shared" si="90"/>
        <v>226.24947222222218</v>
      </c>
      <c r="E127" s="227">
        <f t="shared" si="90"/>
        <v>228.0837</v>
      </c>
      <c r="F127" s="227">
        <f t="shared" si="90"/>
        <v>209.001</v>
      </c>
      <c r="G127" s="227">
        <f t="shared" si="90"/>
        <v>152.0558</v>
      </c>
      <c r="H127" s="227">
        <f t="shared" si="90"/>
        <v>152.0558</v>
      </c>
      <c r="I127" s="227">
        <f t="shared" si="90"/>
        <v>94.8077</v>
      </c>
      <c r="J127" s="227">
        <f t="shared" si="90"/>
        <v>94.8077</v>
      </c>
      <c r="K127" s="227">
        <f t="shared" si="90"/>
        <v>555.3166666666666</v>
      </c>
      <c r="L127" s="227">
        <f t="shared" si="90"/>
        <v>555.3166666666666</v>
      </c>
      <c r="M127" s="227">
        <f t="shared" si="90"/>
        <v>555.3166666666666</v>
      </c>
      <c r="N127" s="227">
        <f t="shared" si="90"/>
        <v>555.3166666666666</v>
      </c>
      <c r="O127" s="288">
        <f t="shared" si="90"/>
        <v>555.3166666666666</v>
      </c>
      <c r="P127" s="227">
        <f t="shared" si="90"/>
        <v>555.3166666666666</v>
      </c>
      <c r="Q127" s="227">
        <f t="shared" si="90"/>
        <v>555.3166666666666</v>
      </c>
      <c r="R127" s="227">
        <f t="shared" si="90"/>
        <v>555.3166666666666</v>
      </c>
      <c r="S127" s="227">
        <f t="shared" si="90"/>
        <v>555.3166666666666</v>
      </c>
      <c r="T127" s="227">
        <f t="shared" si="90"/>
        <v>555.3166666666666</v>
      </c>
      <c r="U127" s="227">
        <f t="shared" si="90"/>
        <v>555.3166666666666</v>
      </c>
      <c r="V127" s="227">
        <f t="shared" si="90"/>
        <v>555.3166666666666</v>
      </c>
      <c r="W127" s="227">
        <f t="shared" si="90"/>
        <v>555.3166666666666</v>
      </c>
      <c r="X127" s="227">
        <f t="shared" si="90"/>
        <v>555.3166666666666</v>
      </c>
      <c r="Y127" s="227">
        <f t="shared" si="90"/>
        <v>555.3166666666666</v>
      </c>
      <c r="Z127" s="228">
        <f t="shared" si="90"/>
        <v>555.3166666666666</v>
      </c>
      <c r="AA127" s="288">
        <f t="shared" si="90"/>
        <v>631.0416666666667</v>
      </c>
      <c r="AB127" s="227">
        <f t="shared" si="90"/>
        <v>631.0416666666667</v>
      </c>
      <c r="AC127" s="227">
        <f t="shared" si="90"/>
        <v>631.0416666666667</v>
      </c>
      <c r="AD127" s="227">
        <f t="shared" si="90"/>
        <v>631.0416666666667</v>
      </c>
      <c r="AE127" s="227">
        <f t="shared" si="90"/>
        <v>631.0416666666667</v>
      </c>
      <c r="AF127" s="227">
        <f t="shared" si="90"/>
        <v>631.0416666666667</v>
      </c>
      <c r="AG127" s="227">
        <f t="shared" si="90"/>
        <v>631.0416666666667</v>
      </c>
      <c r="AH127" s="227">
        <f t="shared" si="90"/>
        <v>631.0416666666667</v>
      </c>
      <c r="AI127" s="227">
        <f aca="true" t="shared" si="91" ref="AI127:BJ127">+AI69*($D$5+$D$4)</f>
        <v>631.0416666666667</v>
      </c>
      <c r="AJ127" s="227">
        <f t="shared" si="91"/>
        <v>631.0416666666667</v>
      </c>
      <c r="AK127" s="227">
        <f t="shared" si="91"/>
        <v>631.0416666666667</v>
      </c>
      <c r="AL127" s="228">
        <f t="shared" si="91"/>
        <v>631.0416666666667</v>
      </c>
      <c r="AM127" s="288">
        <f t="shared" si="91"/>
        <v>656.2833333333333</v>
      </c>
      <c r="AN127" s="227">
        <f t="shared" si="91"/>
        <v>656.2833333333333</v>
      </c>
      <c r="AO127" s="227">
        <f t="shared" si="91"/>
        <v>656.2833333333333</v>
      </c>
      <c r="AP127" s="227">
        <f t="shared" si="91"/>
        <v>656.2833333333333</v>
      </c>
      <c r="AQ127" s="227">
        <f t="shared" si="91"/>
        <v>656.2833333333333</v>
      </c>
      <c r="AR127" s="227">
        <f t="shared" si="91"/>
        <v>656.2833333333333</v>
      </c>
      <c r="AS127" s="227">
        <f t="shared" si="91"/>
        <v>656.2833333333333</v>
      </c>
      <c r="AT127" s="227">
        <f t="shared" si="91"/>
        <v>656.2833333333333</v>
      </c>
      <c r="AU127" s="227">
        <f t="shared" si="91"/>
        <v>656.2833333333333</v>
      </c>
      <c r="AV127" s="227">
        <f t="shared" si="91"/>
        <v>656.2833333333333</v>
      </c>
      <c r="AW127" s="227">
        <f t="shared" si="91"/>
        <v>656.2833333333333</v>
      </c>
      <c r="AX127" s="228">
        <f t="shared" si="91"/>
        <v>656.2833333333333</v>
      </c>
      <c r="AY127" s="288">
        <f t="shared" si="91"/>
        <v>757.25</v>
      </c>
      <c r="AZ127" s="227">
        <f t="shared" si="91"/>
        <v>757.25</v>
      </c>
      <c r="BA127" s="227">
        <f t="shared" si="91"/>
        <v>757.25</v>
      </c>
      <c r="BB127" s="227">
        <f t="shared" si="91"/>
        <v>757.25</v>
      </c>
      <c r="BC127" s="227">
        <f t="shared" si="91"/>
        <v>757.25</v>
      </c>
      <c r="BD127" s="227">
        <f t="shared" si="91"/>
        <v>757.25</v>
      </c>
      <c r="BE127" s="227">
        <f t="shared" si="91"/>
        <v>757.25</v>
      </c>
      <c r="BF127" s="227">
        <f t="shared" si="91"/>
        <v>757.25</v>
      </c>
      <c r="BG127" s="227">
        <f t="shared" si="91"/>
        <v>757.25</v>
      </c>
      <c r="BH127" s="227">
        <f t="shared" si="91"/>
        <v>757.25</v>
      </c>
      <c r="BI127" s="227">
        <f t="shared" si="91"/>
        <v>757.25</v>
      </c>
      <c r="BJ127" s="228">
        <f t="shared" si="91"/>
        <v>757.25</v>
      </c>
    </row>
    <row r="128" spans="2:62" ht="15.75">
      <c r="B128" s="215" t="str">
        <f t="shared" si="88"/>
        <v>CFO</v>
      </c>
      <c r="C128" s="227">
        <f aca="true" t="shared" si="92" ref="C128:AH128">+C70*($D$5+$D$4)</f>
        <v>226.24947222222218</v>
      </c>
      <c r="D128" s="227">
        <f t="shared" si="92"/>
        <v>226.24947222222218</v>
      </c>
      <c r="E128" s="227">
        <f t="shared" si="92"/>
        <v>227.7808</v>
      </c>
      <c r="F128" s="227">
        <f t="shared" si="92"/>
        <v>209.001</v>
      </c>
      <c r="G128" s="227">
        <f t="shared" si="92"/>
        <v>152.0558</v>
      </c>
      <c r="H128" s="227">
        <f t="shared" si="92"/>
        <v>152.0558</v>
      </c>
      <c r="I128" s="227">
        <f t="shared" si="92"/>
        <v>94.8077</v>
      </c>
      <c r="J128" s="227">
        <f t="shared" si="92"/>
        <v>94.8077</v>
      </c>
      <c r="K128" s="227">
        <f t="shared" si="92"/>
        <v>555.3166666666666</v>
      </c>
      <c r="L128" s="227">
        <f t="shared" si="92"/>
        <v>555.3166666666666</v>
      </c>
      <c r="M128" s="227">
        <f t="shared" si="92"/>
        <v>555.3166666666666</v>
      </c>
      <c r="N128" s="227">
        <f t="shared" si="92"/>
        <v>555.3166666666666</v>
      </c>
      <c r="O128" s="288">
        <f t="shared" si="92"/>
        <v>555.3166666666666</v>
      </c>
      <c r="P128" s="227">
        <f t="shared" si="92"/>
        <v>555.3166666666666</v>
      </c>
      <c r="Q128" s="227">
        <f t="shared" si="92"/>
        <v>555.3166666666666</v>
      </c>
      <c r="R128" s="227">
        <f t="shared" si="92"/>
        <v>555.3166666666666</v>
      </c>
      <c r="S128" s="227">
        <f t="shared" si="92"/>
        <v>555.3166666666666</v>
      </c>
      <c r="T128" s="227">
        <f t="shared" si="92"/>
        <v>555.3166666666666</v>
      </c>
      <c r="U128" s="227">
        <f t="shared" si="92"/>
        <v>555.3166666666666</v>
      </c>
      <c r="V128" s="227">
        <f t="shared" si="92"/>
        <v>555.3166666666666</v>
      </c>
      <c r="W128" s="227">
        <f t="shared" si="92"/>
        <v>555.3166666666666</v>
      </c>
      <c r="X128" s="227">
        <f t="shared" si="92"/>
        <v>555.3166666666666</v>
      </c>
      <c r="Y128" s="227">
        <f t="shared" si="92"/>
        <v>555.3166666666666</v>
      </c>
      <c r="Z128" s="228">
        <f t="shared" si="92"/>
        <v>555.3166666666666</v>
      </c>
      <c r="AA128" s="288">
        <f t="shared" si="92"/>
        <v>555.3166666666666</v>
      </c>
      <c r="AB128" s="227">
        <f t="shared" si="92"/>
        <v>555.3166666666666</v>
      </c>
      <c r="AC128" s="227">
        <f t="shared" si="92"/>
        <v>555.3166666666666</v>
      </c>
      <c r="AD128" s="227">
        <f t="shared" si="92"/>
        <v>555.3166666666666</v>
      </c>
      <c r="AE128" s="227">
        <f t="shared" si="92"/>
        <v>555.3166666666666</v>
      </c>
      <c r="AF128" s="227">
        <f t="shared" si="92"/>
        <v>555.3166666666666</v>
      </c>
      <c r="AG128" s="227">
        <f t="shared" si="92"/>
        <v>555.3166666666666</v>
      </c>
      <c r="AH128" s="227">
        <f t="shared" si="92"/>
        <v>555.3166666666666</v>
      </c>
      <c r="AI128" s="227">
        <f aca="true" t="shared" si="93" ref="AI128:BJ128">+AI70*($D$5+$D$4)</f>
        <v>555.3166666666666</v>
      </c>
      <c r="AJ128" s="227">
        <f t="shared" si="93"/>
        <v>555.3166666666666</v>
      </c>
      <c r="AK128" s="227">
        <f t="shared" si="93"/>
        <v>555.3166666666666</v>
      </c>
      <c r="AL128" s="228">
        <f t="shared" si="93"/>
        <v>555.3166666666666</v>
      </c>
      <c r="AM128" s="288">
        <f t="shared" si="93"/>
        <v>605.8</v>
      </c>
      <c r="AN128" s="227">
        <f t="shared" si="93"/>
        <v>605.8</v>
      </c>
      <c r="AO128" s="227">
        <f t="shared" si="93"/>
        <v>605.8</v>
      </c>
      <c r="AP128" s="227">
        <f t="shared" si="93"/>
        <v>605.8</v>
      </c>
      <c r="AQ128" s="227">
        <f t="shared" si="93"/>
        <v>605.8</v>
      </c>
      <c r="AR128" s="227">
        <f t="shared" si="93"/>
        <v>605.8</v>
      </c>
      <c r="AS128" s="227">
        <f t="shared" si="93"/>
        <v>605.8</v>
      </c>
      <c r="AT128" s="227">
        <f t="shared" si="93"/>
        <v>605.8</v>
      </c>
      <c r="AU128" s="227">
        <f t="shared" si="93"/>
        <v>605.8</v>
      </c>
      <c r="AV128" s="227">
        <f t="shared" si="93"/>
        <v>605.8</v>
      </c>
      <c r="AW128" s="227">
        <f t="shared" si="93"/>
        <v>605.8</v>
      </c>
      <c r="AX128" s="228">
        <f t="shared" si="93"/>
        <v>605.8</v>
      </c>
      <c r="AY128" s="288">
        <f t="shared" si="93"/>
        <v>605.8</v>
      </c>
      <c r="AZ128" s="227">
        <f t="shared" si="93"/>
        <v>605.8</v>
      </c>
      <c r="BA128" s="227">
        <f t="shared" si="93"/>
        <v>605.8</v>
      </c>
      <c r="BB128" s="227">
        <f t="shared" si="93"/>
        <v>605.8</v>
      </c>
      <c r="BC128" s="227">
        <f t="shared" si="93"/>
        <v>605.8</v>
      </c>
      <c r="BD128" s="227">
        <f t="shared" si="93"/>
        <v>605.8</v>
      </c>
      <c r="BE128" s="227">
        <f t="shared" si="93"/>
        <v>605.8</v>
      </c>
      <c r="BF128" s="227">
        <f t="shared" si="93"/>
        <v>605.8</v>
      </c>
      <c r="BG128" s="227">
        <f t="shared" si="93"/>
        <v>605.8</v>
      </c>
      <c r="BH128" s="227">
        <f t="shared" si="93"/>
        <v>605.8</v>
      </c>
      <c r="BI128" s="227">
        <f t="shared" si="93"/>
        <v>605.8</v>
      </c>
      <c r="BJ128" s="228">
        <f t="shared" si="93"/>
        <v>605.8</v>
      </c>
    </row>
    <row r="129" spans="2:62" ht="15.75">
      <c r="B129" s="215" t="str">
        <f t="shared" si="88"/>
        <v>CTO</v>
      </c>
      <c r="C129" s="227">
        <f aca="true" t="shared" si="94" ref="C129:AH129">+C71*($D$5+$D$4)</f>
        <v>0</v>
      </c>
      <c r="D129" s="227">
        <f t="shared" si="94"/>
        <v>0</v>
      </c>
      <c r="E129" s="227">
        <f t="shared" si="94"/>
        <v>0</v>
      </c>
      <c r="F129" s="227">
        <f t="shared" si="94"/>
        <v>0</v>
      </c>
      <c r="G129" s="227">
        <f t="shared" si="94"/>
        <v>0</v>
      </c>
      <c r="H129" s="227">
        <f t="shared" si="94"/>
        <v>0</v>
      </c>
      <c r="I129" s="227">
        <f t="shared" si="94"/>
        <v>0</v>
      </c>
      <c r="J129" s="227">
        <f t="shared" si="94"/>
        <v>0</v>
      </c>
      <c r="K129" s="227">
        <f t="shared" si="94"/>
        <v>0</v>
      </c>
      <c r="L129" s="227">
        <f t="shared" si="94"/>
        <v>0</v>
      </c>
      <c r="M129" s="227">
        <f t="shared" si="94"/>
        <v>0</v>
      </c>
      <c r="N129" s="227">
        <f t="shared" si="94"/>
        <v>0</v>
      </c>
      <c r="O129" s="288">
        <f t="shared" si="94"/>
        <v>0</v>
      </c>
      <c r="P129" s="227">
        <f t="shared" si="94"/>
        <v>0</v>
      </c>
      <c r="Q129" s="227">
        <f t="shared" si="94"/>
        <v>0</v>
      </c>
      <c r="R129" s="227">
        <f t="shared" si="94"/>
        <v>0</v>
      </c>
      <c r="S129" s="227">
        <f t="shared" si="94"/>
        <v>0</v>
      </c>
      <c r="T129" s="227">
        <f t="shared" si="94"/>
        <v>0</v>
      </c>
      <c r="U129" s="227">
        <f t="shared" si="94"/>
        <v>0</v>
      </c>
      <c r="V129" s="227">
        <f t="shared" si="94"/>
        <v>0</v>
      </c>
      <c r="W129" s="227">
        <f t="shared" si="94"/>
        <v>0</v>
      </c>
      <c r="X129" s="227">
        <f t="shared" si="94"/>
        <v>0</v>
      </c>
      <c r="Y129" s="227">
        <f t="shared" si="94"/>
        <v>0</v>
      </c>
      <c r="Z129" s="228">
        <f t="shared" si="94"/>
        <v>0</v>
      </c>
      <c r="AA129" s="288">
        <f t="shared" si="94"/>
        <v>555.3166666666666</v>
      </c>
      <c r="AB129" s="227">
        <f t="shared" si="94"/>
        <v>555.3166666666666</v>
      </c>
      <c r="AC129" s="227">
        <f t="shared" si="94"/>
        <v>555.3166666666666</v>
      </c>
      <c r="AD129" s="227">
        <f t="shared" si="94"/>
        <v>555.3166666666666</v>
      </c>
      <c r="AE129" s="227">
        <f t="shared" si="94"/>
        <v>555.3166666666666</v>
      </c>
      <c r="AF129" s="227">
        <f t="shared" si="94"/>
        <v>555.3166666666666</v>
      </c>
      <c r="AG129" s="227">
        <f t="shared" si="94"/>
        <v>555.3166666666666</v>
      </c>
      <c r="AH129" s="227">
        <f t="shared" si="94"/>
        <v>555.3166666666666</v>
      </c>
      <c r="AI129" s="227">
        <f aca="true" t="shared" si="95" ref="AI129:BJ129">+AI71*($D$5+$D$4)</f>
        <v>555.3166666666666</v>
      </c>
      <c r="AJ129" s="227">
        <f t="shared" si="95"/>
        <v>555.3166666666666</v>
      </c>
      <c r="AK129" s="227">
        <f t="shared" si="95"/>
        <v>555.3166666666666</v>
      </c>
      <c r="AL129" s="228">
        <f t="shared" si="95"/>
        <v>555.3166666666666</v>
      </c>
      <c r="AM129" s="288">
        <f t="shared" si="95"/>
        <v>605.8</v>
      </c>
      <c r="AN129" s="227">
        <f t="shared" si="95"/>
        <v>605.8</v>
      </c>
      <c r="AO129" s="227">
        <f t="shared" si="95"/>
        <v>605.8</v>
      </c>
      <c r="AP129" s="227">
        <f t="shared" si="95"/>
        <v>605.8</v>
      </c>
      <c r="AQ129" s="227">
        <f t="shared" si="95"/>
        <v>605.8</v>
      </c>
      <c r="AR129" s="227">
        <f t="shared" si="95"/>
        <v>605.8</v>
      </c>
      <c r="AS129" s="227">
        <f t="shared" si="95"/>
        <v>605.8</v>
      </c>
      <c r="AT129" s="227">
        <f t="shared" si="95"/>
        <v>605.8</v>
      </c>
      <c r="AU129" s="227">
        <f t="shared" si="95"/>
        <v>605.8</v>
      </c>
      <c r="AV129" s="227">
        <f t="shared" si="95"/>
        <v>605.8</v>
      </c>
      <c r="AW129" s="227">
        <f t="shared" si="95"/>
        <v>605.8</v>
      </c>
      <c r="AX129" s="228">
        <f t="shared" si="95"/>
        <v>605.8</v>
      </c>
      <c r="AY129" s="288">
        <f t="shared" si="95"/>
        <v>605.8</v>
      </c>
      <c r="AZ129" s="227">
        <f t="shared" si="95"/>
        <v>605.8</v>
      </c>
      <c r="BA129" s="227">
        <f t="shared" si="95"/>
        <v>605.8</v>
      </c>
      <c r="BB129" s="227">
        <f t="shared" si="95"/>
        <v>605.8</v>
      </c>
      <c r="BC129" s="227">
        <f t="shared" si="95"/>
        <v>605.8</v>
      </c>
      <c r="BD129" s="227">
        <f t="shared" si="95"/>
        <v>605.8</v>
      </c>
      <c r="BE129" s="227">
        <f t="shared" si="95"/>
        <v>605.8</v>
      </c>
      <c r="BF129" s="227">
        <f t="shared" si="95"/>
        <v>605.8</v>
      </c>
      <c r="BG129" s="227">
        <f t="shared" si="95"/>
        <v>605.8</v>
      </c>
      <c r="BH129" s="227">
        <f t="shared" si="95"/>
        <v>605.8</v>
      </c>
      <c r="BI129" s="227">
        <f t="shared" si="95"/>
        <v>605.8</v>
      </c>
      <c r="BJ129" s="228">
        <f t="shared" si="95"/>
        <v>605.8</v>
      </c>
    </row>
    <row r="130" spans="2:62" ht="15.75">
      <c r="B130" s="215" t="str">
        <f t="shared" si="88"/>
        <v>Sales Manager</v>
      </c>
      <c r="C130" s="227">
        <f aca="true" t="shared" si="96" ref="C130:AH130">+C72*($D$5+$D$4)</f>
        <v>0</v>
      </c>
      <c r="D130" s="227">
        <f t="shared" si="96"/>
        <v>0</v>
      </c>
      <c r="E130" s="227">
        <f t="shared" si="96"/>
        <v>0</v>
      </c>
      <c r="F130" s="227">
        <f t="shared" si="96"/>
        <v>0</v>
      </c>
      <c r="G130" s="227">
        <f t="shared" si="96"/>
        <v>0</v>
      </c>
      <c r="H130" s="227">
        <f t="shared" si="96"/>
        <v>0</v>
      </c>
      <c r="I130" s="227">
        <f t="shared" si="96"/>
        <v>0</v>
      </c>
      <c r="J130" s="227">
        <f t="shared" si="96"/>
        <v>0</v>
      </c>
      <c r="K130" s="227">
        <f t="shared" si="96"/>
        <v>0</v>
      </c>
      <c r="L130" s="227">
        <f t="shared" si="96"/>
        <v>0</v>
      </c>
      <c r="M130" s="227">
        <f t="shared" si="96"/>
        <v>0</v>
      </c>
      <c r="N130" s="227">
        <f t="shared" si="96"/>
        <v>0</v>
      </c>
      <c r="O130" s="288">
        <f t="shared" si="96"/>
        <v>0</v>
      </c>
      <c r="P130" s="227">
        <f t="shared" si="96"/>
        <v>0</v>
      </c>
      <c r="Q130" s="227">
        <f t="shared" si="96"/>
        <v>0</v>
      </c>
      <c r="R130" s="227">
        <f t="shared" si="96"/>
        <v>0</v>
      </c>
      <c r="S130" s="227">
        <f t="shared" si="96"/>
        <v>0</v>
      </c>
      <c r="T130" s="227">
        <f t="shared" si="96"/>
        <v>0</v>
      </c>
      <c r="U130" s="227">
        <f t="shared" si="96"/>
        <v>0</v>
      </c>
      <c r="V130" s="227">
        <f t="shared" si="96"/>
        <v>0</v>
      </c>
      <c r="W130" s="227">
        <f t="shared" si="96"/>
        <v>0</v>
      </c>
      <c r="X130" s="227">
        <f t="shared" si="96"/>
        <v>0</v>
      </c>
      <c r="Y130" s="227">
        <f t="shared" si="96"/>
        <v>0</v>
      </c>
      <c r="Z130" s="228">
        <f t="shared" si="96"/>
        <v>0</v>
      </c>
      <c r="AA130" s="288">
        <f t="shared" si="96"/>
        <v>555.3166666666666</v>
      </c>
      <c r="AB130" s="227">
        <f t="shared" si="96"/>
        <v>555.3166666666666</v>
      </c>
      <c r="AC130" s="227">
        <f t="shared" si="96"/>
        <v>555.3166666666666</v>
      </c>
      <c r="AD130" s="227">
        <f t="shared" si="96"/>
        <v>555.3166666666666</v>
      </c>
      <c r="AE130" s="227">
        <f t="shared" si="96"/>
        <v>555.3166666666666</v>
      </c>
      <c r="AF130" s="227">
        <f t="shared" si="96"/>
        <v>555.3166666666666</v>
      </c>
      <c r="AG130" s="227">
        <f t="shared" si="96"/>
        <v>555.3166666666666</v>
      </c>
      <c r="AH130" s="227">
        <f t="shared" si="96"/>
        <v>555.3166666666666</v>
      </c>
      <c r="AI130" s="227">
        <f aca="true" t="shared" si="97" ref="AI130:BJ130">+AI72*($D$5+$D$4)</f>
        <v>555.3166666666666</v>
      </c>
      <c r="AJ130" s="227">
        <f t="shared" si="97"/>
        <v>555.3166666666666</v>
      </c>
      <c r="AK130" s="227">
        <f t="shared" si="97"/>
        <v>555.3166666666666</v>
      </c>
      <c r="AL130" s="228">
        <f t="shared" si="97"/>
        <v>555.3166666666666</v>
      </c>
      <c r="AM130" s="288">
        <f t="shared" si="97"/>
        <v>555.3166666666666</v>
      </c>
      <c r="AN130" s="227">
        <f t="shared" si="97"/>
        <v>555.3166666666666</v>
      </c>
      <c r="AO130" s="227">
        <f t="shared" si="97"/>
        <v>555.3166666666666</v>
      </c>
      <c r="AP130" s="227">
        <f t="shared" si="97"/>
        <v>555.3166666666666</v>
      </c>
      <c r="AQ130" s="227">
        <f t="shared" si="97"/>
        <v>555.3166666666666</v>
      </c>
      <c r="AR130" s="227">
        <f t="shared" si="97"/>
        <v>555.3166666666666</v>
      </c>
      <c r="AS130" s="227">
        <f t="shared" si="97"/>
        <v>555.3166666666666</v>
      </c>
      <c r="AT130" s="227">
        <f t="shared" si="97"/>
        <v>555.3166666666666</v>
      </c>
      <c r="AU130" s="227">
        <f t="shared" si="97"/>
        <v>555.3166666666666</v>
      </c>
      <c r="AV130" s="227">
        <f t="shared" si="97"/>
        <v>555.3166666666666</v>
      </c>
      <c r="AW130" s="227">
        <f t="shared" si="97"/>
        <v>555.3166666666666</v>
      </c>
      <c r="AX130" s="228">
        <f t="shared" si="97"/>
        <v>555.3166666666666</v>
      </c>
      <c r="AY130" s="288">
        <f t="shared" si="97"/>
        <v>555.3166666666666</v>
      </c>
      <c r="AZ130" s="227">
        <f t="shared" si="97"/>
        <v>555.3166666666666</v>
      </c>
      <c r="BA130" s="227">
        <f t="shared" si="97"/>
        <v>555.3166666666666</v>
      </c>
      <c r="BB130" s="227">
        <f t="shared" si="97"/>
        <v>555.3166666666666</v>
      </c>
      <c r="BC130" s="227">
        <f t="shared" si="97"/>
        <v>555.3166666666666</v>
      </c>
      <c r="BD130" s="227">
        <f t="shared" si="97"/>
        <v>555.3166666666666</v>
      </c>
      <c r="BE130" s="227">
        <f t="shared" si="97"/>
        <v>555.3166666666666</v>
      </c>
      <c r="BF130" s="227">
        <f t="shared" si="97"/>
        <v>555.3166666666666</v>
      </c>
      <c r="BG130" s="227">
        <f t="shared" si="97"/>
        <v>555.3166666666666</v>
      </c>
      <c r="BH130" s="227">
        <f t="shared" si="97"/>
        <v>555.3166666666666</v>
      </c>
      <c r="BI130" s="227">
        <f t="shared" si="97"/>
        <v>555.3166666666666</v>
      </c>
      <c r="BJ130" s="228">
        <f t="shared" si="97"/>
        <v>555.3166666666666</v>
      </c>
    </row>
    <row r="131" spans="2:62" ht="15.75">
      <c r="B131" s="215" t="str">
        <f t="shared" si="88"/>
        <v>Business Developer</v>
      </c>
      <c r="C131" s="227">
        <f aca="true" t="shared" si="98" ref="C131:AH131">+C73*($D$5+$D$4)</f>
        <v>0</v>
      </c>
      <c r="D131" s="227">
        <f t="shared" si="98"/>
        <v>0</v>
      </c>
      <c r="E131" s="227">
        <f t="shared" si="98"/>
        <v>0</v>
      </c>
      <c r="F131" s="227">
        <f t="shared" si="98"/>
        <v>0</v>
      </c>
      <c r="G131" s="227">
        <f t="shared" si="98"/>
        <v>0</v>
      </c>
      <c r="H131" s="227">
        <f t="shared" si="98"/>
        <v>0</v>
      </c>
      <c r="I131" s="227">
        <f t="shared" si="98"/>
        <v>0</v>
      </c>
      <c r="J131" s="227">
        <f t="shared" si="98"/>
        <v>0</v>
      </c>
      <c r="K131" s="227">
        <f t="shared" si="98"/>
        <v>0</v>
      </c>
      <c r="L131" s="227">
        <f t="shared" si="98"/>
        <v>0</v>
      </c>
      <c r="M131" s="227">
        <f t="shared" si="98"/>
        <v>0</v>
      </c>
      <c r="N131" s="227">
        <f t="shared" si="98"/>
        <v>0</v>
      </c>
      <c r="O131" s="288">
        <f t="shared" si="98"/>
        <v>555.3166666666666</v>
      </c>
      <c r="P131" s="227">
        <f t="shared" si="98"/>
        <v>555.3166666666666</v>
      </c>
      <c r="Q131" s="227">
        <f t="shared" si="98"/>
        <v>555.3166666666666</v>
      </c>
      <c r="R131" s="227">
        <f t="shared" si="98"/>
        <v>555.3166666666666</v>
      </c>
      <c r="S131" s="227">
        <f t="shared" si="98"/>
        <v>555.3166666666666</v>
      </c>
      <c r="T131" s="227">
        <f t="shared" si="98"/>
        <v>555.3166666666666</v>
      </c>
      <c r="U131" s="227">
        <f t="shared" si="98"/>
        <v>555.3166666666666</v>
      </c>
      <c r="V131" s="227">
        <f t="shared" si="98"/>
        <v>555.3166666666666</v>
      </c>
      <c r="W131" s="227">
        <f t="shared" si="98"/>
        <v>555.3166666666666</v>
      </c>
      <c r="X131" s="227">
        <f t="shared" si="98"/>
        <v>555.3166666666666</v>
      </c>
      <c r="Y131" s="227">
        <f t="shared" si="98"/>
        <v>555.3166666666666</v>
      </c>
      <c r="Z131" s="228">
        <f t="shared" si="98"/>
        <v>555.3166666666666</v>
      </c>
      <c r="AA131" s="288">
        <f t="shared" si="98"/>
        <v>555.3166666666666</v>
      </c>
      <c r="AB131" s="227">
        <f t="shared" si="98"/>
        <v>555.3166666666666</v>
      </c>
      <c r="AC131" s="227">
        <f t="shared" si="98"/>
        <v>555.3166666666666</v>
      </c>
      <c r="AD131" s="227">
        <f t="shared" si="98"/>
        <v>555.3166666666666</v>
      </c>
      <c r="AE131" s="227">
        <f t="shared" si="98"/>
        <v>555.3166666666666</v>
      </c>
      <c r="AF131" s="227">
        <f t="shared" si="98"/>
        <v>555.3166666666666</v>
      </c>
      <c r="AG131" s="227">
        <f t="shared" si="98"/>
        <v>555.3166666666666</v>
      </c>
      <c r="AH131" s="227">
        <f t="shared" si="98"/>
        <v>555.3166666666666</v>
      </c>
      <c r="AI131" s="227">
        <f aca="true" t="shared" si="99" ref="AI131:BJ131">+AI73*($D$5+$D$4)</f>
        <v>555.3166666666666</v>
      </c>
      <c r="AJ131" s="227">
        <f t="shared" si="99"/>
        <v>555.3166666666666</v>
      </c>
      <c r="AK131" s="227">
        <f t="shared" si="99"/>
        <v>555.3166666666666</v>
      </c>
      <c r="AL131" s="228">
        <f t="shared" si="99"/>
        <v>555.3166666666666</v>
      </c>
      <c r="AM131" s="288">
        <f t="shared" si="99"/>
        <v>555.3166666666666</v>
      </c>
      <c r="AN131" s="227">
        <f t="shared" si="99"/>
        <v>555.3166666666666</v>
      </c>
      <c r="AO131" s="227">
        <f t="shared" si="99"/>
        <v>555.3166666666666</v>
      </c>
      <c r="AP131" s="227">
        <f t="shared" si="99"/>
        <v>555.3166666666666</v>
      </c>
      <c r="AQ131" s="227">
        <f t="shared" si="99"/>
        <v>555.3166666666666</v>
      </c>
      <c r="AR131" s="227">
        <f t="shared" si="99"/>
        <v>555.3166666666666</v>
      </c>
      <c r="AS131" s="227">
        <f t="shared" si="99"/>
        <v>555.3166666666666</v>
      </c>
      <c r="AT131" s="227">
        <f t="shared" si="99"/>
        <v>555.3166666666666</v>
      </c>
      <c r="AU131" s="227">
        <f t="shared" si="99"/>
        <v>555.3166666666666</v>
      </c>
      <c r="AV131" s="227">
        <f t="shared" si="99"/>
        <v>555.3166666666666</v>
      </c>
      <c r="AW131" s="227">
        <f t="shared" si="99"/>
        <v>555.3166666666666</v>
      </c>
      <c r="AX131" s="228">
        <f t="shared" si="99"/>
        <v>555.3166666666666</v>
      </c>
      <c r="AY131" s="288">
        <f t="shared" si="99"/>
        <v>555.3166666666666</v>
      </c>
      <c r="AZ131" s="227">
        <f t="shared" si="99"/>
        <v>555.3166666666666</v>
      </c>
      <c r="BA131" s="227">
        <f t="shared" si="99"/>
        <v>555.3166666666666</v>
      </c>
      <c r="BB131" s="227">
        <f t="shared" si="99"/>
        <v>555.3166666666666</v>
      </c>
      <c r="BC131" s="227">
        <f t="shared" si="99"/>
        <v>555.3166666666666</v>
      </c>
      <c r="BD131" s="227">
        <f t="shared" si="99"/>
        <v>555.3166666666666</v>
      </c>
      <c r="BE131" s="227">
        <f t="shared" si="99"/>
        <v>555.3166666666666</v>
      </c>
      <c r="BF131" s="227">
        <f t="shared" si="99"/>
        <v>555.3166666666666</v>
      </c>
      <c r="BG131" s="227">
        <f t="shared" si="99"/>
        <v>555.3166666666666</v>
      </c>
      <c r="BH131" s="227">
        <f t="shared" si="99"/>
        <v>555.3166666666666</v>
      </c>
      <c r="BI131" s="227">
        <f t="shared" si="99"/>
        <v>555.3166666666666</v>
      </c>
      <c r="BJ131" s="228">
        <f t="shared" si="99"/>
        <v>555.3166666666666</v>
      </c>
    </row>
    <row r="132" spans="2:62" ht="15.75">
      <c r="B132" s="215" t="str">
        <f t="shared" si="88"/>
        <v>Account Manager</v>
      </c>
      <c r="C132" s="227">
        <f aca="true" t="shared" si="100" ref="C132:AH132">+C74*($D$5+$D$4)</f>
        <v>0</v>
      </c>
      <c r="D132" s="227">
        <f t="shared" si="100"/>
        <v>0</v>
      </c>
      <c r="E132" s="227">
        <f t="shared" si="100"/>
        <v>0</v>
      </c>
      <c r="F132" s="227">
        <f t="shared" si="100"/>
        <v>0</v>
      </c>
      <c r="G132" s="227">
        <f t="shared" si="100"/>
        <v>0</v>
      </c>
      <c r="H132" s="227">
        <f t="shared" si="100"/>
        <v>0</v>
      </c>
      <c r="I132" s="227">
        <f t="shared" si="100"/>
        <v>0</v>
      </c>
      <c r="J132" s="227">
        <f t="shared" si="100"/>
        <v>0</v>
      </c>
      <c r="K132" s="227">
        <f t="shared" si="100"/>
        <v>0</v>
      </c>
      <c r="L132" s="227">
        <f t="shared" si="100"/>
        <v>504.83333333333337</v>
      </c>
      <c r="M132" s="227">
        <f t="shared" si="100"/>
        <v>504.83333333333337</v>
      </c>
      <c r="N132" s="227">
        <f t="shared" si="100"/>
        <v>504.83333333333337</v>
      </c>
      <c r="O132" s="288">
        <f t="shared" si="100"/>
        <v>555.3166666666666</v>
      </c>
      <c r="P132" s="227">
        <f t="shared" si="100"/>
        <v>555.3166666666666</v>
      </c>
      <c r="Q132" s="227">
        <f t="shared" si="100"/>
        <v>555.3166666666666</v>
      </c>
      <c r="R132" s="227">
        <f t="shared" si="100"/>
        <v>555.3166666666666</v>
      </c>
      <c r="S132" s="227">
        <f t="shared" si="100"/>
        <v>555.3166666666666</v>
      </c>
      <c r="T132" s="227">
        <f t="shared" si="100"/>
        <v>555.3166666666666</v>
      </c>
      <c r="U132" s="227">
        <f t="shared" si="100"/>
        <v>555.3166666666666</v>
      </c>
      <c r="V132" s="227">
        <f t="shared" si="100"/>
        <v>555.3166666666666</v>
      </c>
      <c r="W132" s="227">
        <f t="shared" si="100"/>
        <v>555.3166666666666</v>
      </c>
      <c r="X132" s="227">
        <f t="shared" si="100"/>
        <v>555.3166666666666</v>
      </c>
      <c r="Y132" s="227">
        <f t="shared" si="100"/>
        <v>555.3166666666666</v>
      </c>
      <c r="Z132" s="228">
        <f t="shared" si="100"/>
        <v>555.3166666666666</v>
      </c>
      <c r="AA132" s="288">
        <f t="shared" si="100"/>
        <v>1110.6333333333332</v>
      </c>
      <c r="AB132" s="227">
        <f t="shared" si="100"/>
        <v>1110.6333333333332</v>
      </c>
      <c r="AC132" s="227">
        <f t="shared" si="100"/>
        <v>1110.6333333333332</v>
      </c>
      <c r="AD132" s="227">
        <f t="shared" si="100"/>
        <v>1110.6333333333332</v>
      </c>
      <c r="AE132" s="227">
        <f t="shared" si="100"/>
        <v>1110.6333333333332</v>
      </c>
      <c r="AF132" s="227">
        <f t="shared" si="100"/>
        <v>1110.6333333333332</v>
      </c>
      <c r="AG132" s="227">
        <f t="shared" si="100"/>
        <v>1110.6333333333332</v>
      </c>
      <c r="AH132" s="227">
        <f t="shared" si="100"/>
        <v>1110.6333333333332</v>
      </c>
      <c r="AI132" s="227">
        <f aca="true" t="shared" si="101" ref="AI132:BJ132">+AI74*($D$5+$D$4)</f>
        <v>1110.6333333333332</v>
      </c>
      <c r="AJ132" s="227">
        <f t="shared" si="101"/>
        <v>1110.6333333333332</v>
      </c>
      <c r="AK132" s="227">
        <f t="shared" si="101"/>
        <v>1110.6333333333332</v>
      </c>
      <c r="AL132" s="228">
        <f t="shared" si="101"/>
        <v>1110.6333333333332</v>
      </c>
      <c r="AM132" s="288">
        <f t="shared" si="101"/>
        <v>1110.6333333333332</v>
      </c>
      <c r="AN132" s="227">
        <f t="shared" si="101"/>
        <v>1110.6333333333332</v>
      </c>
      <c r="AO132" s="227">
        <f t="shared" si="101"/>
        <v>1110.6333333333332</v>
      </c>
      <c r="AP132" s="227">
        <f t="shared" si="101"/>
        <v>1110.6333333333332</v>
      </c>
      <c r="AQ132" s="227">
        <f t="shared" si="101"/>
        <v>1110.6333333333332</v>
      </c>
      <c r="AR132" s="227">
        <f t="shared" si="101"/>
        <v>1110.6333333333332</v>
      </c>
      <c r="AS132" s="227">
        <f t="shared" si="101"/>
        <v>1110.6333333333332</v>
      </c>
      <c r="AT132" s="227">
        <f t="shared" si="101"/>
        <v>1110.6333333333332</v>
      </c>
      <c r="AU132" s="227">
        <f t="shared" si="101"/>
        <v>1110.6333333333332</v>
      </c>
      <c r="AV132" s="227">
        <f t="shared" si="101"/>
        <v>1110.6333333333332</v>
      </c>
      <c r="AW132" s="227">
        <f t="shared" si="101"/>
        <v>1110.6333333333332</v>
      </c>
      <c r="AX132" s="228">
        <f t="shared" si="101"/>
        <v>1110.6333333333332</v>
      </c>
      <c r="AY132" s="288">
        <f t="shared" si="101"/>
        <v>1665.95</v>
      </c>
      <c r="AZ132" s="227">
        <f t="shared" si="101"/>
        <v>1665.95</v>
      </c>
      <c r="BA132" s="227">
        <f t="shared" si="101"/>
        <v>1665.95</v>
      </c>
      <c r="BB132" s="227">
        <f t="shared" si="101"/>
        <v>1665.95</v>
      </c>
      <c r="BC132" s="227">
        <f t="shared" si="101"/>
        <v>1665.95</v>
      </c>
      <c r="BD132" s="227">
        <f t="shared" si="101"/>
        <v>1665.95</v>
      </c>
      <c r="BE132" s="227">
        <f t="shared" si="101"/>
        <v>1665.95</v>
      </c>
      <c r="BF132" s="227">
        <f t="shared" si="101"/>
        <v>1665.95</v>
      </c>
      <c r="BG132" s="227">
        <f t="shared" si="101"/>
        <v>1665.95</v>
      </c>
      <c r="BH132" s="227">
        <f t="shared" si="101"/>
        <v>1665.95</v>
      </c>
      <c r="BI132" s="227">
        <f t="shared" si="101"/>
        <v>1665.95</v>
      </c>
      <c r="BJ132" s="228">
        <f t="shared" si="101"/>
        <v>1665.95</v>
      </c>
    </row>
    <row r="133" spans="2:62" ht="15.75">
      <c r="B133" s="215" t="str">
        <f t="shared" si="88"/>
        <v>CMO</v>
      </c>
      <c r="C133" s="227">
        <f aca="true" t="shared" si="102" ref="C133:AH133">+C75*($D$5+$D$4)</f>
        <v>0</v>
      </c>
      <c r="D133" s="227">
        <f t="shared" si="102"/>
        <v>0</v>
      </c>
      <c r="E133" s="227">
        <f t="shared" si="102"/>
        <v>0</v>
      </c>
      <c r="F133" s="227">
        <f t="shared" si="102"/>
        <v>0</v>
      </c>
      <c r="G133" s="227">
        <f t="shared" si="102"/>
        <v>0</v>
      </c>
      <c r="H133" s="227">
        <f t="shared" si="102"/>
        <v>0</v>
      </c>
      <c r="I133" s="227">
        <f t="shared" si="102"/>
        <v>0</v>
      </c>
      <c r="J133" s="227">
        <f t="shared" si="102"/>
        <v>0</v>
      </c>
      <c r="K133" s="227">
        <f t="shared" si="102"/>
        <v>0</v>
      </c>
      <c r="L133" s="227">
        <f t="shared" si="102"/>
        <v>0</v>
      </c>
      <c r="M133" s="227">
        <f t="shared" si="102"/>
        <v>0</v>
      </c>
      <c r="N133" s="227">
        <f t="shared" si="102"/>
        <v>0</v>
      </c>
      <c r="O133" s="288">
        <f t="shared" si="102"/>
        <v>504.83333333333337</v>
      </c>
      <c r="P133" s="227">
        <f t="shared" si="102"/>
        <v>504.83333333333337</v>
      </c>
      <c r="Q133" s="227">
        <f t="shared" si="102"/>
        <v>504.83333333333337</v>
      </c>
      <c r="R133" s="227">
        <f t="shared" si="102"/>
        <v>504.83333333333337</v>
      </c>
      <c r="S133" s="227">
        <f t="shared" si="102"/>
        <v>504.83333333333337</v>
      </c>
      <c r="T133" s="227">
        <f t="shared" si="102"/>
        <v>504.83333333333337</v>
      </c>
      <c r="U133" s="227">
        <f t="shared" si="102"/>
        <v>504.83333333333337</v>
      </c>
      <c r="V133" s="227">
        <f t="shared" si="102"/>
        <v>504.83333333333337</v>
      </c>
      <c r="W133" s="227">
        <f t="shared" si="102"/>
        <v>504.83333333333337</v>
      </c>
      <c r="X133" s="227">
        <f t="shared" si="102"/>
        <v>504.83333333333337</v>
      </c>
      <c r="Y133" s="227">
        <f t="shared" si="102"/>
        <v>504.83333333333337</v>
      </c>
      <c r="Z133" s="228">
        <f t="shared" si="102"/>
        <v>504.83333333333337</v>
      </c>
      <c r="AA133" s="288">
        <f t="shared" si="102"/>
        <v>555.3166666666666</v>
      </c>
      <c r="AB133" s="227">
        <f t="shared" si="102"/>
        <v>555.3166666666666</v>
      </c>
      <c r="AC133" s="227">
        <f t="shared" si="102"/>
        <v>555.3166666666666</v>
      </c>
      <c r="AD133" s="227">
        <f t="shared" si="102"/>
        <v>555.3166666666666</v>
      </c>
      <c r="AE133" s="227">
        <f t="shared" si="102"/>
        <v>555.3166666666666</v>
      </c>
      <c r="AF133" s="227">
        <f t="shared" si="102"/>
        <v>555.3166666666666</v>
      </c>
      <c r="AG133" s="227">
        <f t="shared" si="102"/>
        <v>555.3166666666666</v>
      </c>
      <c r="AH133" s="227">
        <f t="shared" si="102"/>
        <v>555.3166666666666</v>
      </c>
      <c r="AI133" s="227">
        <f aca="true" t="shared" si="103" ref="AI133:BJ133">+AI75*($D$5+$D$4)</f>
        <v>555.3166666666666</v>
      </c>
      <c r="AJ133" s="227">
        <f t="shared" si="103"/>
        <v>555.3166666666666</v>
      </c>
      <c r="AK133" s="227">
        <f t="shared" si="103"/>
        <v>555.3166666666666</v>
      </c>
      <c r="AL133" s="228">
        <f t="shared" si="103"/>
        <v>555.3166666666666</v>
      </c>
      <c r="AM133" s="288">
        <f t="shared" si="103"/>
        <v>555.3166666666666</v>
      </c>
      <c r="AN133" s="227">
        <f t="shared" si="103"/>
        <v>555.3166666666666</v>
      </c>
      <c r="AO133" s="227">
        <f t="shared" si="103"/>
        <v>555.3166666666666</v>
      </c>
      <c r="AP133" s="227">
        <f t="shared" si="103"/>
        <v>555.3166666666666</v>
      </c>
      <c r="AQ133" s="227">
        <f t="shared" si="103"/>
        <v>555.3166666666666</v>
      </c>
      <c r="AR133" s="227">
        <f t="shared" si="103"/>
        <v>555.3166666666666</v>
      </c>
      <c r="AS133" s="227">
        <f t="shared" si="103"/>
        <v>555.3166666666666</v>
      </c>
      <c r="AT133" s="227">
        <f t="shared" si="103"/>
        <v>555.3166666666666</v>
      </c>
      <c r="AU133" s="227">
        <f t="shared" si="103"/>
        <v>555.3166666666666</v>
      </c>
      <c r="AV133" s="227">
        <f t="shared" si="103"/>
        <v>555.3166666666666</v>
      </c>
      <c r="AW133" s="227">
        <f t="shared" si="103"/>
        <v>555.3166666666666</v>
      </c>
      <c r="AX133" s="228">
        <f t="shared" si="103"/>
        <v>555.3166666666666</v>
      </c>
      <c r="AY133" s="288">
        <f t="shared" si="103"/>
        <v>555.3166666666666</v>
      </c>
      <c r="AZ133" s="227">
        <f t="shared" si="103"/>
        <v>555.3166666666666</v>
      </c>
      <c r="BA133" s="227">
        <f t="shared" si="103"/>
        <v>555.3166666666666</v>
      </c>
      <c r="BB133" s="227">
        <f t="shared" si="103"/>
        <v>555.3166666666666</v>
      </c>
      <c r="BC133" s="227">
        <f t="shared" si="103"/>
        <v>555.3166666666666</v>
      </c>
      <c r="BD133" s="227">
        <f t="shared" si="103"/>
        <v>555.3166666666666</v>
      </c>
      <c r="BE133" s="227">
        <f t="shared" si="103"/>
        <v>555.3166666666666</v>
      </c>
      <c r="BF133" s="227">
        <f t="shared" si="103"/>
        <v>555.3166666666666</v>
      </c>
      <c r="BG133" s="227">
        <f t="shared" si="103"/>
        <v>555.3166666666666</v>
      </c>
      <c r="BH133" s="227">
        <f t="shared" si="103"/>
        <v>555.3166666666666</v>
      </c>
      <c r="BI133" s="227">
        <f t="shared" si="103"/>
        <v>555.3166666666666</v>
      </c>
      <c r="BJ133" s="228">
        <f t="shared" si="103"/>
        <v>555.3166666666666</v>
      </c>
    </row>
    <row r="134" spans="2:62" ht="15.75">
      <c r="B134" s="215" t="str">
        <f t="shared" si="88"/>
        <v>Marketing Specialist</v>
      </c>
      <c r="C134" s="227">
        <f aca="true" t="shared" si="104" ref="C134:AH134">+C76*($D$5+$D$4)</f>
        <v>0</v>
      </c>
      <c r="D134" s="227">
        <f t="shared" si="104"/>
        <v>0</v>
      </c>
      <c r="E134" s="227">
        <f t="shared" si="104"/>
        <v>0</v>
      </c>
      <c r="F134" s="227">
        <f t="shared" si="104"/>
        <v>0</v>
      </c>
      <c r="G134" s="227">
        <f t="shared" si="104"/>
        <v>0</v>
      </c>
      <c r="H134" s="227">
        <f t="shared" si="104"/>
        <v>0</v>
      </c>
      <c r="I134" s="227">
        <f t="shared" si="104"/>
        <v>0</v>
      </c>
      <c r="J134" s="227">
        <f t="shared" si="104"/>
        <v>0</v>
      </c>
      <c r="K134" s="227">
        <f t="shared" si="104"/>
        <v>0</v>
      </c>
      <c r="L134" s="227">
        <f t="shared" si="104"/>
        <v>0</v>
      </c>
      <c r="M134" s="227">
        <f t="shared" si="104"/>
        <v>0</v>
      </c>
      <c r="N134" s="227">
        <f t="shared" si="104"/>
        <v>0</v>
      </c>
      <c r="O134" s="288">
        <f t="shared" si="104"/>
        <v>0</v>
      </c>
      <c r="P134" s="227">
        <f t="shared" si="104"/>
        <v>0</v>
      </c>
      <c r="Q134" s="227">
        <f t="shared" si="104"/>
        <v>0</v>
      </c>
      <c r="R134" s="227">
        <f t="shared" si="104"/>
        <v>0</v>
      </c>
      <c r="S134" s="227">
        <f t="shared" si="104"/>
        <v>0</v>
      </c>
      <c r="T134" s="227">
        <f t="shared" si="104"/>
        <v>0</v>
      </c>
      <c r="U134" s="227">
        <f t="shared" si="104"/>
        <v>0</v>
      </c>
      <c r="V134" s="227">
        <f t="shared" si="104"/>
        <v>0</v>
      </c>
      <c r="W134" s="227">
        <f t="shared" si="104"/>
        <v>0</v>
      </c>
      <c r="X134" s="227">
        <f t="shared" si="104"/>
        <v>0</v>
      </c>
      <c r="Y134" s="227">
        <f t="shared" si="104"/>
        <v>0</v>
      </c>
      <c r="Z134" s="228">
        <f t="shared" si="104"/>
        <v>0</v>
      </c>
      <c r="AA134" s="288">
        <f t="shared" si="104"/>
        <v>504.83333333333337</v>
      </c>
      <c r="AB134" s="227">
        <f t="shared" si="104"/>
        <v>504.83333333333337</v>
      </c>
      <c r="AC134" s="227">
        <f t="shared" si="104"/>
        <v>504.83333333333337</v>
      </c>
      <c r="AD134" s="227">
        <f t="shared" si="104"/>
        <v>504.83333333333337</v>
      </c>
      <c r="AE134" s="227">
        <f t="shared" si="104"/>
        <v>504.83333333333337</v>
      </c>
      <c r="AF134" s="227">
        <f t="shared" si="104"/>
        <v>504.83333333333337</v>
      </c>
      <c r="AG134" s="227">
        <f t="shared" si="104"/>
        <v>504.83333333333337</v>
      </c>
      <c r="AH134" s="227">
        <f t="shared" si="104"/>
        <v>504.83333333333337</v>
      </c>
      <c r="AI134" s="227">
        <f aca="true" t="shared" si="105" ref="AI134:BJ134">+AI76*($D$5+$D$4)</f>
        <v>504.83333333333337</v>
      </c>
      <c r="AJ134" s="227">
        <f t="shared" si="105"/>
        <v>504.83333333333337</v>
      </c>
      <c r="AK134" s="227">
        <f t="shared" si="105"/>
        <v>504.83333333333337</v>
      </c>
      <c r="AL134" s="228">
        <f t="shared" si="105"/>
        <v>504.83333333333337</v>
      </c>
      <c r="AM134" s="288">
        <f t="shared" si="105"/>
        <v>504.83333333333337</v>
      </c>
      <c r="AN134" s="227">
        <f t="shared" si="105"/>
        <v>504.83333333333337</v>
      </c>
      <c r="AO134" s="227">
        <f t="shared" si="105"/>
        <v>504.83333333333337</v>
      </c>
      <c r="AP134" s="227">
        <f t="shared" si="105"/>
        <v>504.83333333333337</v>
      </c>
      <c r="AQ134" s="227">
        <f t="shared" si="105"/>
        <v>504.83333333333337</v>
      </c>
      <c r="AR134" s="227">
        <f t="shared" si="105"/>
        <v>504.83333333333337</v>
      </c>
      <c r="AS134" s="227">
        <f t="shared" si="105"/>
        <v>504.83333333333337</v>
      </c>
      <c r="AT134" s="227">
        <f t="shared" si="105"/>
        <v>504.83333333333337</v>
      </c>
      <c r="AU134" s="227">
        <f t="shared" si="105"/>
        <v>504.83333333333337</v>
      </c>
      <c r="AV134" s="227">
        <f t="shared" si="105"/>
        <v>504.83333333333337</v>
      </c>
      <c r="AW134" s="227">
        <f t="shared" si="105"/>
        <v>504.83333333333337</v>
      </c>
      <c r="AX134" s="228">
        <f t="shared" si="105"/>
        <v>504.83333333333337</v>
      </c>
      <c r="AY134" s="288">
        <f t="shared" si="105"/>
        <v>1009.6666666666667</v>
      </c>
      <c r="AZ134" s="227">
        <f t="shared" si="105"/>
        <v>1009.6666666666667</v>
      </c>
      <c r="BA134" s="227">
        <f t="shared" si="105"/>
        <v>1009.6666666666667</v>
      </c>
      <c r="BB134" s="227">
        <f t="shared" si="105"/>
        <v>1009.6666666666667</v>
      </c>
      <c r="BC134" s="227">
        <f t="shared" si="105"/>
        <v>1009.6666666666667</v>
      </c>
      <c r="BD134" s="227">
        <f t="shared" si="105"/>
        <v>1009.6666666666667</v>
      </c>
      <c r="BE134" s="227">
        <f t="shared" si="105"/>
        <v>1009.6666666666667</v>
      </c>
      <c r="BF134" s="227">
        <f t="shared" si="105"/>
        <v>1009.6666666666667</v>
      </c>
      <c r="BG134" s="227">
        <f t="shared" si="105"/>
        <v>1009.6666666666667</v>
      </c>
      <c r="BH134" s="227">
        <f t="shared" si="105"/>
        <v>1009.6666666666667</v>
      </c>
      <c r="BI134" s="227">
        <f t="shared" si="105"/>
        <v>1009.6666666666667</v>
      </c>
      <c r="BJ134" s="228">
        <f t="shared" si="105"/>
        <v>1009.6666666666667</v>
      </c>
    </row>
    <row r="135" spans="2:62" ht="15.75">
      <c r="B135" s="215" t="str">
        <f t="shared" si="88"/>
        <v>Junior Developer</v>
      </c>
      <c r="C135" s="227">
        <f aca="true" t="shared" si="106" ref="C135:AH135">+C77*($D$5+$D$4)</f>
        <v>0</v>
      </c>
      <c r="D135" s="227">
        <f t="shared" si="106"/>
        <v>0</v>
      </c>
      <c r="E135" s="227">
        <f t="shared" si="106"/>
        <v>0</v>
      </c>
      <c r="F135" s="227">
        <f t="shared" si="106"/>
        <v>0</v>
      </c>
      <c r="G135" s="227">
        <f t="shared" si="106"/>
        <v>0</v>
      </c>
      <c r="H135" s="227">
        <f t="shared" si="106"/>
        <v>0</v>
      </c>
      <c r="I135" s="227">
        <f t="shared" si="106"/>
        <v>0</v>
      </c>
      <c r="J135" s="227">
        <f t="shared" si="106"/>
        <v>0</v>
      </c>
      <c r="K135" s="227">
        <f t="shared" si="106"/>
        <v>0</v>
      </c>
      <c r="L135" s="227">
        <f t="shared" si="106"/>
        <v>0</v>
      </c>
      <c r="M135" s="227">
        <f t="shared" si="106"/>
        <v>0</v>
      </c>
      <c r="N135" s="227">
        <f t="shared" si="106"/>
        <v>0</v>
      </c>
      <c r="O135" s="288">
        <f t="shared" si="106"/>
        <v>504.83333333333337</v>
      </c>
      <c r="P135" s="227">
        <f t="shared" si="106"/>
        <v>504.83333333333337</v>
      </c>
      <c r="Q135" s="227">
        <f t="shared" si="106"/>
        <v>504.83333333333337</v>
      </c>
      <c r="R135" s="227">
        <f t="shared" si="106"/>
        <v>504.83333333333337</v>
      </c>
      <c r="S135" s="227">
        <f t="shared" si="106"/>
        <v>504.83333333333337</v>
      </c>
      <c r="T135" s="227">
        <f t="shared" si="106"/>
        <v>504.83333333333337</v>
      </c>
      <c r="U135" s="227">
        <f t="shared" si="106"/>
        <v>504.83333333333337</v>
      </c>
      <c r="V135" s="227">
        <f t="shared" si="106"/>
        <v>504.83333333333337</v>
      </c>
      <c r="W135" s="227">
        <f t="shared" si="106"/>
        <v>504.83333333333337</v>
      </c>
      <c r="X135" s="227">
        <f t="shared" si="106"/>
        <v>504.83333333333337</v>
      </c>
      <c r="Y135" s="227">
        <f t="shared" si="106"/>
        <v>504.83333333333337</v>
      </c>
      <c r="Z135" s="228">
        <f t="shared" si="106"/>
        <v>504.83333333333337</v>
      </c>
      <c r="AA135" s="288">
        <f t="shared" si="106"/>
        <v>1009.6666666666667</v>
      </c>
      <c r="AB135" s="227">
        <f t="shared" si="106"/>
        <v>1009.6666666666667</v>
      </c>
      <c r="AC135" s="227">
        <f t="shared" si="106"/>
        <v>1009.6666666666667</v>
      </c>
      <c r="AD135" s="227">
        <f t="shared" si="106"/>
        <v>1009.6666666666667</v>
      </c>
      <c r="AE135" s="227">
        <f t="shared" si="106"/>
        <v>1009.6666666666667</v>
      </c>
      <c r="AF135" s="227">
        <f t="shared" si="106"/>
        <v>1009.6666666666667</v>
      </c>
      <c r="AG135" s="227">
        <f t="shared" si="106"/>
        <v>1009.6666666666667</v>
      </c>
      <c r="AH135" s="227">
        <f t="shared" si="106"/>
        <v>1009.6666666666667</v>
      </c>
      <c r="AI135" s="227">
        <f aca="true" t="shared" si="107" ref="AI135:BJ135">+AI77*($D$5+$D$4)</f>
        <v>1009.6666666666667</v>
      </c>
      <c r="AJ135" s="227">
        <f t="shared" si="107"/>
        <v>1009.6666666666667</v>
      </c>
      <c r="AK135" s="227">
        <f t="shared" si="107"/>
        <v>1009.6666666666667</v>
      </c>
      <c r="AL135" s="228">
        <f t="shared" si="107"/>
        <v>1009.6666666666667</v>
      </c>
      <c r="AM135" s="288">
        <f t="shared" si="107"/>
        <v>1009.6666666666667</v>
      </c>
      <c r="AN135" s="227">
        <f t="shared" si="107"/>
        <v>1009.6666666666667</v>
      </c>
      <c r="AO135" s="227">
        <f t="shared" si="107"/>
        <v>1009.6666666666667</v>
      </c>
      <c r="AP135" s="227">
        <f t="shared" si="107"/>
        <v>1009.6666666666667</v>
      </c>
      <c r="AQ135" s="227">
        <f t="shared" si="107"/>
        <v>1009.6666666666667</v>
      </c>
      <c r="AR135" s="227">
        <f t="shared" si="107"/>
        <v>1009.6666666666667</v>
      </c>
      <c r="AS135" s="227">
        <f t="shared" si="107"/>
        <v>1009.6666666666667</v>
      </c>
      <c r="AT135" s="227">
        <f t="shared" si="107"/>
        <v>1009.6666666666667</v>
      </c>
      <c r="AU135" s="227">
        <f t="shared" si="107"/>
        <v>1009.6666666666667</v>
      </c>
      <c r="AV135" s="227">
        <f t="shared" si="107"/>
        <v>1009.6666666666667</v>
      </c>
      <c r="AW135" s="227">
        <f t="shared" si="107"/>
        <v>1009.6666666666667</v>
      </c>
      <c r="AX135" s="228">
        <f t="shared" si="107"/>
        <v>1009.6666666666667</v>
      </c>
      <c r="AY135" s="288">
        <f t="shared" si="107"/>
        <v>1009.6666666666667</v>
      </c>
      <c r="AZ135" s="227">
        <f t="shared" si="107"/>
        <v>1009.6666666666667</v>
      </c>
      <c r="BA135" s="227">
        <f t="shared" si="107"/>
        <v>1009.6666666666667</v>
      </c>
      <c r="BB135" s="227">
        <f t="shared" si="107"/>
        <v>1009.6666666666667</v>
      </c>
      <c r="BC135" s="227">
        <f t="shared" si="107"/>
        <v>1009.6666666666667</v>
      </c>
      <c r="BD135" s="227">
        <f t="shared" si="107"/>
        <v>1009.6666666666667</v>
      </c>
      <c r="BE135" s="227">
        <f t="shared" si="107"/>
        <v>1009.6666666666667</v>
      </c>
      <c r="BF135" s="227">
        <f t="shared" si="107"/>
        <v>1009.6666666666667</v>
      </c>
      <c r="BG135" s="227">
        <f t="shared" si="107"/>
        <v>1009.6666666666667</v>
      </c>
      <c r="BH135" s="227">
        <f t="shared" si="107"/>
        <v>1009.6666666666667</v>
      </c>
      <c r="BI135" s="227">
        <f t="shared" si="107"/>
        <v>1009.6666666666667</v>
      </c>
      <c r="BJ135" s="228">
        <f t="shared" si="107"/>
        <v>1009.6666666666667</v>
      </c>
    </row>
    <row r="136" spans="2:62" ht="15.75">
      <c r="B136" s="215">
        <f t="shared" si="88"/>
        <v>0</v>
      </c>
      <c r="C136" s="227">
        <f aca="true" t="shared" si="108" ref="C136:AH136">+C78*($D$5+$D$4)</f>
        <v>0</v>
      </c>
      <c r="D136" s="227">
        <f t="shared" si="108"/>
        <v>0</v>
      </c>
      <c r="E136" s="227">
        <f t="shared" si="108"/>
        <v>0</v>
      </c>
      <c r="F136" s="227">
        <f t="shared" si="108"/>
        <v>0</v>
      </c>
      <c r="G136" s="227">
        <f t="shared" si="108"/>
        <v>0</v>
      </c>
      <c r="H136" s="227">
        <f t="shared" si="108"/>
        <v>0</v>
      </c>
      <c r="I136" s="227">
        <f t="shared" si="108"/>
        <v>0</v>
      </c>
      <c r="J136" s="227">
        <f t="shared" si="108"/>
        <v>0</v>
      </c>
      <c r="K136" s="227">
        <f t="shared" si="108"/>
        <v>0</v>
      </c>
      <c r="L136" s="227">
        <f t="shared" si="108"/>
        <v>0</v>
      </c>
      <c r="M136" s="227">
        <f t="shared" si="108"/>
        <v>0</v>
      </c>
      <c r="N136" s="227">
        <f t="shared" si="108"/>
        <v>0</v>
      </c>
      <c r="O136" s="288">
        <f t="shared" si="108"/>
        <v>0</v>
      </c>
      <c r="P136" s="227">
        <f t="shared" si="108"/>
        <v>0</v>
      </c>
      <c r="Q136" s="227">
        <f t="shared" si="108"/>
        <v>0</v>
      </c>
      <c r="R136" s="227">
        <f t="shared" si="108"/>
        <v>0</v>
      </c>
      <c r="S136" s="227">
        <f t="shared" si="108"/>
        <v>0</v>
      </c>
      <c r="T136" s="227">
        <f t="shared" si="108"/>
        <v>0</v>
      </c>
      <c r="U136" s="227">
        <f t="shared" si="108"/>
        <v>0</v>
      </c>
      <c r="V136" s="227">
        <f t="shared" si="108"/>
        <v>0</v>
      </c>
      <c r="W136" s="227">
        <f t="shared" si="108"/>
        <v>0</v>
      </c>
      <c r="X136" s="227">
        <f t="shared" si="108"/>
        <v>0</v>
      </c>
      <c r="Y136" s="227">
        <f t="shared" si="108"/>
        <v>0</v>
      </c>
      <c r="Z136" s="228">
        <f t="shared" si="108"/>
        <v>0</v>
      </c>
      <c r="AA136" s="288">
        <f t="shared" si="108"/>
        <v>0</v>
      </c>
      <c r="AB136" s="227">
        <f t="shared" si="108"/>
        <v>0</v>
      </c>
      <c r="AC136" s="227">
        <f t="shared" si="108"/>
        <v>0</v>
      </c>
      <c r="AD136" s="227">
        <f t="shared" si="108"/>
        <v>0</v>
      </c>
      <c r="AE136" s="227">
        <f t="shared" si="108"/>
        <v>0</v>
      </c>
      <c r="AF136" s="227">
        <f t="shared" si="108"/>
        <v>0</v>
      </c>
      <c r="AG136" s="227">
        <f t="shared" si="108"/>
        <v>0</v>
      </c>
      <c r="AH136" s="227">
        <f t="shared" si="108"/>
        <v>0</v>
      </c>
      <c r="AI136" s="227">
        <f aca="true" t="shared" si="109" ref="AI136:BJ136">+AI78*($D$5+$D$4)</f>
        <v>0</v>
      </c>
      <c r="AJ136" s="227">
        <f t="shared" si="109"/>
        <v>0</v>
      </c>
      <c r="AK136" s="227">
        <f t="shared" si="109"/>
        <v>0</v>
      </c>
      <c r="AL136" s="228">
        <f t="shared" si="109"/>
        <v>0</v>
      </c>
      <c r="AM136" s="288">
        <f t="shared" si="109"/>
        <v>0</v>
      </c>
      <c r="AN136" s="227">
        <f t="shared" si="109"/>
        <v>0</v>
      </c>
      <c r="AO136" s="227">
        <f t="shared" si="109"/>
        <v>0</v>
      </c>
      <c r="AP136" s="227">
        <f t="shared" si="109"/>
        <v>0</v>
      </c>
      <c r="AQ136" s="227">
        <f t="shared" si="109"/>
        <v>0</v>
      </c>
      <c r="AR136" s="227">
        <f t="shared" si="109"/>
        <v>0</v>
      </c>
      <c r="AS136" s="227">
        <f t="shared" si="109"/>
        <v>0</v>
      </c>
      <c r="AT136" s="227">
        <f t="shared" si="109"/>
        <v>0</v>
      </c>
      <c r="AU136" s="227">
        <f t="shared" si="109"/>
        <v>0</v>
      </c>
      <c r="AV136" s="227">
        <f t="shared" si="109"/>
        <v>0</v>
      </c>
      <c r="AW136" s="227">
        <f t="shared" si="109"/>
        <v>0</v>
      </c>
      <c r="AX136" s="228">
        <f t="shared" si="109"/>
        <v>0</v>
      </c>
      <c r="AY136" s="288">
        <f t="shared" si="109"/>
        <v>0</v>
      </c>
      <c r="AZ136" s="227">
        <f t="shared" si="109"/>
        <v>0</v>
      </c>
      <c r="BA136" s="227">
        <f t="shared" si="109"/>
        <v>0</v>
      </c>
      <c r="BB136" s="227">
        <f t="shared" si="109"/>
        <v>0</v>
      </c>
      <c r="BC136" s="227">
        <f t="shared" si="109"/>
        <v>0</v>
      </c>
      <c r="BD136" s="227">
        <f t="shared" si="109"/>
        <v>0</v>
      </c>
      <c r="BE136" s="227">
        <f t="shared" si="109"/>
        <v>0</v>
      </c>
      <c r="BF136" s="227">
        <f t="shared" si="109"/>
        <v>0</v>
      </c>
      <c r="BG136" s="227">
        <f t="shared" si="109"/>
        <v>0</v>
      </c>
      <c r="BH136" s="227">
        <f t="shared" si="109"/>
        <v>0</v>
      </c>
      <c r="BI136" s="227">
        <f t="shared" si="109"/>
        <v>0</v>
      </c>
      <c r="BJ136" s="228">
        <f t="shared" si="109"/>
        <v>0</v>
      </c>
    </row>
    <row r="137" spans="2:62" ht="15.75">
      <c r="B137" s="215">
        <f t="shared" si="88"/>
        <v>0</v>
      </c>
      <c r="C137" s="227">
        <f aca="true" t="shared" si="110" ref="C137:AH137">+C79*($D$5+$D$4)</f>
        <v>0</v>
      </c>
      <c r="D137" s="227">
        <f t="shared" si="110"/>
        <v>0</v>
      </c>
      <c r="E137" s="227">
        <f t="shared" si="110"/>
        <v>0</v>
      </c>
      <c r="F137" s="227">
        <f t="shared" si="110"/>
        <v>0</v>
      </c>
      <c r="G137" s="227">
        <f t="shared" si="110"/>
        <v>0</v>
      </c>
      <c r="H137" s="227">
        <f t="shared" si="110"/>
        <v>0</v>
      </c>
      <c r="I137" s="227">
        <f t="shared" si="110"/>
        <v>0</v>
      </c>
      <c r="J137" s="227">
        <f t="shared" si="110"/>
        <v>0</v>
      </c>
      <c r="K137" s="227">
        <f t="shared" si="110"/>
        <v>0</v>
      </c>
      <c r="L137" s="227">
        <f t="shared" si="110"/>
        <v>0</v>
      </c>
      <c r="M137" s="227">
        <f t="shared" si="110"/>
        <v>0</v>
      </c>
      <c r="N137" s="227">
        <f t="shared" si="110"/>
        <v>0</v>
      </c>
      <c r="O137" s="288">
        <f t="shared" si="110"/>
        <v>0</v>
      </c>
      <c r="P137" s="227">
        <f t="shared" si="110"/>
        <v>0</v>
      </c>
      <c r="Q137" s="227">
        <f t="shared" si="110"/>
        <v>0</v>
      </c>
      <c r="R137" s="227">
        <f t="shared" si="110"/>
        <v>0</v>
      </c>
      <c r="S137" s="227">
        <f t="shared" si="110"/>
        <v>0</v>
      </c>
      <c r="T137" s="227">
        <f t="shared" si="110"/>
        <v>0</v>
      </c>
      <c r="U137" s="227">
        <f t="shared" si="110"/>
        <v>0</v>
      </c>
      <c r="V137" s="227">
        <f t="shared" si="110"/>
        <v>0</v>
      </c>
      <c r="W137" s="227">
        <f t="shared" si="110"/>
        <v>0</v>
      </c>
      <c r="X137" s="227">
        <f t="shared" si="110"/>
        <v>0</v>
      </c>
      <c r="Y137" s="227">
        <f t="shared" si="110"/>
        <v>0</v>
      </c>
      <c r="Z137" s="228">
        <f t="shared" si="110"/>
        <v>0</v>
      </c>
      <c r="AA137" s="288">
        <f t="shared" si="110"/>
        <v>0</v>
      </c>
      <c r="AB137" s="227">
        <f t="shared" si="110"/>
        <v>0</v>
      </c>
      <c r="AC137" s="227">
        <f t="shared" si="110"/>
        <v>0</v>
      </c>
      <c r="AD137" s="227">
        <f t="shared" si="110"/>
        <v>0</v>
      </c>
      <c r="AE137" s="227">
        <f t="shared" si="110"/>
        <v>0</v>
      </c>
      <c r="AF137" s="227">
        <f t="shared" si="110"/>
        <v>0</v>
      </c>
      <c r="AG137" s="227">
        <f t="shared" si="110"/>
        <v>0</v>
      </c>
      <c r="AH137" s="227">
        <f t="shared" si="110"/>
        <v>0</v>
      </c>
      <c r="AI137" s="227">
        <f aca="true" t="shared" si="111" ref="AI137:BJ137">+AI79*($D$5+$D$4)</f>
        <v>0</v>
      </c>
      <c r="AJ137" s="227">
        <f t="shared" si="111"/>
        <v>0</v>
      </c>
      <c r="AK137" s="227">
        <f t="shared" si="111"/>
        <v>0</v>
      </c>
      <c r="AL137" s="228">
        <f t="shared" si="111"/>
        <v>0</v>
      </c>
      <c r="AM137" s="288">
        <f t="shared" si="111"/>
        <v>0</v>
      </c>
      <c r="AN137" s="227">
        <f t="shared" si="111"/>
        <v>0</v>
      </c>
      <c r="AO137" s="227">
        <f t="shared" si="111"/>
        <v>0</v>
      </c>
      <c r="AP137" s="227">
        <f t="shared" si="111"/>
        <v>0</v>
      </c>
      <c r="AQ137" s="227">
        <f t="shared" si="111"/>
        <v>0</v>
      </c>
      <c r="AR137" s="227">
        <f t="shared" si="111"/>
        <v>0</v>
      </c>
      <c r="AS137" s="227">
        <f t="shared" si="111"/>
        <v>0</v>
      </c>
      <c r="AT137" s="227">
        <f t="shared" si="111"/>
        <v>0</v>
      </c>
      <c r="AU137" s="227">
        <f t="shared" si="111"/>
        <v>0</v>
      </c>
      <c r="AV137" s="227">
        <f t="shared" si="111"/>
        <v>0</v>
      </c>
      <c r="AW137" s="227">
        <f t="shared" si="111"/>
        <v>0</v>
      </c>
      <c r="AX137" s="228">
        <f t="shared" si="111"/>
        <v>0</v>
      </c>
      <c r="AY137" s="288">
        <f t="shared" si="111"/>
        <v>0</v>
      </c>
      <c r="AZ137" s="227">
        <f t="shared" si="111"/>
        <v>0</v>
      </c>
      <c r="BA137" s="227">
        <f t="shared" si="111"/>
        <v>0</v>
      </c>
      <c r="BB137" s="227">
        <f t="shared" si="111"/>
        <v>0</v>
      </c>
      <c r="BC137" s="227">
        <f t="shared" si="111"/>
        <v>0</v>
      </c>
      <c r="BD137" s="227">
        <f t="shared" si="111"/>
        <v>0</v>
      </c>
      <c r="BE137" s="227">
        <f t="shared" si="111"/>
        <v>0</v>
      </c>
      <c r="BF137" s="227">
        <f t="shared" si="111"/>
        <v>0</v>
      </c>
      <c r="BG137" s="227">
        <f t="shared" si="111"/>
        <v>0</v>
      </c>
      <c r="BH137" s="227">
        <f t="shared" si="111"/>
        <v>0</v>
      </c>
      <c r="BI137" s="227">
        <f t="shared" si="111"/>
        <v>0</v>
      </c>
      <c r="BJ137" s="228">
        <f t="shared" si="111"/>
        <v>0</v>
      </c>
    </row>
    <row r="138" spans="2:62" ht="15.75">
      <c r="B138" s="215">
        <f t="shared" si="88"/>
        <v>0</v>
      </c>
      <c r="C138" s="227">
        <f aca="true" t="shared" si="112" ref="C138:AH138">+C80*($D$5+$D$4)</f>
        <v>0</v>
      </c>
      <c r="D138" s="227">
        <f t="shared" si="112"/>
        <v>0</v>
      </c>
      <c r="E138" s="227">
        <f t="shared" si="112"/>
        <v>0</v>
      </c>
      <c r="F138" s="227">
        <f t="shared" si="112"/>
        <v>0</v>
      </c>
      <c r="G138" s="227">
        <f t="shared" si="112"/>
        <v>0</v>
      </c>
      <c r="H138" s="227">
        <f t="shared" si="112"/>
        <v>0</v>
      </c>
      <c r="I138" s="227">
        <f t="shared" si="112"/>
        <v>0</v>
      </c>
      <c r="J138" s="227">
        <f t="shared" si="112"/>
        <v>0</v>
      </c>
      <c r="K138" s="227">
        <f t="shared" si="112"/>
        <v>0</v>
      </c>
      <c r="L138" s="227">
        <f t="shared" si="112"/>
        <v>0</v>
      </c>
      <c r="M138" s="227">
        <f t="shared" si="112"/>
        <v>0</v>
      </c>
      <c r="N138" s="227">
        <f t="shared" si="112"/>
        <v>0</v>
      </c>
      <c r="O138" s="288">
        <f t="shared" si="112"/>
        <v>0</v>
      </c>
      <c r="P138" s="227">
        <f t="shared" si="112"/>
        <v>0</v>
      </c>
      <c r="Q138" s="227">
        <f t="shared" si="112"/>
        <v>0</v>
      </c>
      <c r="R138" s="227">
        <f t="shared" si="112"/>
        <v>0</v>
      </c>
      <c r="S138" s="227">
        <f t="shared" si="112"/>
        <v>0</v>
      </c>
      <c r="T138" s="227">
        <f t="shared" si="112"/>
        <v>0</v>
      </c>
      <c r="U138" s="227">
        <f t="shared" si="112"/>
        <v>0</v>
      </c>
      <c r="V138" s="227">
        <f t="shared" si="112"/>
        <v>0</v>
      </c>
      <c r="W138" s="227">
        <f t="shared" si="112"/>
        <v>0</v>
      </c>
      <c r="X138" s="227">
        <f t="shared" si="112"/>
        <v>0</v>
      </c>
      <c r="Y138" s="227">
        <f t="shared" si="112"/>
        <v>0</v>
      </c>
      <c r="Z138" s="228">
        <f t="shared" si="112"/>
        <v>0</v>
      </c>
      <c r="AA138" s="288">
        <f t="shared" si="112"/>
        <v>0</v>
      </c>
      <c r="AB138" s="227">
        <f t="shared" si="112"/>
        <v>0</v>
      </c>
      <c r="AC138" s="227">
        <f t="shared" si="112"/>
        <v>0</v>
      </c>
      <c r="AD138" s="227">
        <f t="shared" si="112"/>
        <v>0</v>
      </c>
      <c r="AE138" s="227">
        <f t="shared" si="112"/>
        <v>0</v>
      </c>
      <c r="AF138" s="227">
        <f t="shared" si="112"/>
        <v>0</v>
      </c>
      <c r="AG138" s="227">
        <f t="shared" si="112"/>
        <v>0</v>
      </c>
      <c r="AH138" s="227">
        <f t="shared" si="112"/>
        <v>0</v>
      </c>
      <c r="AI138" s="227">
        <f aca="true" t="shared" si="113" ref="AI138:BJ138">+AI80*($D$5+$D$4)</f>
        <v>0</v>
      </c>
      <c r="AJ138" s="227">
        <f t="shared" si="113"/>
        <v>0</v>
      </c>
      <c r="AK138" s="227">
        <f t="shared" si="113"/>
        <v>0</v>
      </c>
      <c r="AL138" s="228">
        <f t="shared" si="113"/>
        <v>0</v>
      </c>
      <c r="AM138" s="288">
        <f t="shared" si="113"/>
        <v>0</v>
      </c>
      <c r="AN138" s="227">
        <f t="shared" si="113"/>
        <v>0</v>
      </c>
      <c r="AO138" s="227">
        <f t="shared" si="113"/>
        <v>0</v>
      </c>
      <c r="AP138" s="227">
        <f t="shared" si="113"/>
        <v>0</v>
      </c>
      <c r="AQ138" s="227">
        <f t="shared" si="113"/>
        <v>0</v>
      </c>
      <c r="AR138" s="227">
        <f t="shared" si="113"/>
        <v>0</v>
      </c>
      <c r="AS138" s="227">
        <f t="shared" si="113"/>
        <v>0</v>
      </c>
      <c r="AT138" s="227">
        <f t="shared" si="113"/>
        <v>0</v>
      </c>
      <c r="AU138" s="227">
        <f t="shared" si="113"/>
        <v>0</v>
      </c>
      <c r="AV138" s="227">
        <f t="shared" si="113"/>
        <v>0</v>
      </c>
      <c r="AW138" s="227">
        <f t="shared" si="113"/>
        <v>0</v>
      </c>
      <c r="AX138" s="228">
        <f t="shared" si="113"/>
        <v>0</v>
      </c>
      <c r="AY138" s="288">
        <f t="shared" si="113"/>
        <v>0</v>
      </c>
      <c r="AZ138" s="227">
        <f t="shared" si="113"/>
        <v>0</v>
      </c>
      <c r="BA138" s="227">
        <f t="shared" si="113"/>
        <v>0</v>
      </c>
      <c r="BB138" s="227">
        <f t="shared" si="113"/>
        <v>0</v>
      </c>
      <c r="BC138" s="227">
        <f t="shared" si="113"/>
        <v>0</v>
      </c>
      <c r="BD138" s="227">
        <f t="shared" si="113"/>
        <v>0</v>
      </c>
      <c r="BE138" s="227">
        <f t="shared" si="113"/>
        <v>0</v>
      </c>
      <c r="BF138" s="227">
        <f t="shared" si="113"/>
        <v>0</v>
      </c>
      <c r="BG138" s="227">
        <f t="shared" si="113"/>
        <v>0</v>
      </c>
      <c r="BH138" s="227">
        <f t="shared" si="113"/>
        <v>0</v>
      </c>
      <c r="BI138" s="227">
        <f t="shared" si="113"/>
        <v>0</v>
      </c>
      <c r="BJ138" s="228">
        <f t="shared" si="113"/>
        <v>0</v>
      </c>
    </row>
    <row r="139" spans="2:62" ht="15.75">
      <c r="B139" s="215">
        <f t="shared" si="88"/>
        <v>0</v>
      </c>
      <c r="C139" s="227">
        <f aca="true" t="shared" si="114" ref="C139:AH139">+C81*($D$5+$D$4)</f>
        <v>0</v>
      </c>
      <c r="D139" s="227">
        <f t="shared" si="114"/>
        <v>0</v>
      </c>
      <c r="E139" s="227">
        <f t="shared" si="114"/>
        <v>0</v>
      </c>
      <c r="F139" s="227">
        <f t="shared" si="114"/>
        <v>0</v>
      </c>
      <c r="G139" s="227">
        <f t="shared" si="114"/>
        <v>0</v>
      </c>
      <c r="H139" s="227">
        <f t="shared" si="114"/>
        <v>0</v>
      </c>
      <c r="I139" s="227">
        <f t="shared" si="114"/>
        <v>0</v>
      </c>
      <c r="J139" s="227">
        <f t="shared" si="114"/>
        <v>0</v>
      </c>
      <c r="K139" s="227">
        <f t="shared" si="114"/>
        <v>0</v>
      </c>
      <c r="L139" s="227">
        <f t="shared" si="114"/>
        <v>0</v>
      </c>
      <c r="M139" s="227">
        <f t="shared" si="114"/>
        <v>0</v>
      </c>
      <c r="N139" s="227">
        <f t="shared" si="114"/>
        <v>0</v>
      </c>
      <c r="O139" s="288">
        <f t="shared" si="114"/>
        <v>0</v>
      </c>
      <c r="P139" s="227">
        <f t="shared" si="114"/>
        <v>0</v>
      </c>
      <c r="Q139" s="227">
        <f t="shared" si="114"/>
        <v>0</v>
      </c>
      <c r="R139" s="227">
        <f t="shared" si="114"/>
        <v>0</v>
      </c>
      <c r="S139" s="227">
        <f t="shared" si="114"/>
        <v>0</v>
      </c>
      <c r="T139" s="227">
        <f t="shared" si="114"/>
        <v>0</v>
      </c>
      <c r="U139" s="227">
        <f t="shared" si="114"/>
        <v>0</v>
      </c>
      <c r="V139" s="227">
        <f t="shared" si="114"/>
        <v>0</v>
      </c>
      <c r="W139" s="227">
        <f t="shared" si="114"/>
        <v>0</v>
      </c>
      <c r="X139" s="227">
        <f t="shared" si="114"/>
        <v>0</v>
      </c>
      <c r="Y139" s="227">
        <f t="shared" si="114"/>
        <v>0</v>
      </c>
      <c r="Z139" s="228">
        <f t="shared" si="114"/>
        <v>0</v>
      </c>
      <c r="AA139" s="288">
        <f t="shared" si="114"/>
        <v>0</v>
      </c>
      <c r="AB139" s="227">
        <f t="shared" si="114"/>
        <v>0</v>
      </c>
      <c r="AC139" s="227">
        <f t="shared" si="114"/>
        <v>0</v>
      </c>
      <c r="AD139" s="227">
        <f t="shared" si="114"/>
        <v>0</v>
      </c>
      <c r="AE139" s="227">
        <f t="shared" si="114"/>
        <v>0</v>
      </c>
      <c r="AF139" s="227">
        <f t="shared" si="114"/>
        <v>0</v>
      </c>
      <c r="AG139" s="227">
        <f t="shared" si="114"/>
        <v>0</v>
      </c>
      <c r="AH139" s="227">
        <f t="shared" si="114"/>
        <v>0</v>
      </c>
      <c r="AI139" s="227">
        <f aca="true" t="shared" si="115" ref="AI139:BJ139">+AI81*($D$5+$D$4)</f>
        <v>0</v>
      </c>
      <c r="AJ139" s="227">
        <f t="shared" si="115"/>
        <v>0</v>
      </c>
      <c r="AK139" s="227">
        <f t="shared" si="115"/>
        <v>0</v>
      </c>
      <c r="AL139" s="228">
        <f t="shared" si="115"/>
        <v>0</v>
      </c>
      <c r="AM139" s="288">
        <f t="shared" si="115"/>
        <v>0</v>
      </c>
      <c r="AN139" s="227">
        <f t="shared" si="115"/>
        <v>0</v>
      </c>
      <c r="AO139" s="227">
        <f t="shared" si="115"/>
        <v>0</v>
      </c>
      <c r="AP139" s="227">
        <f t="shared" si="115"/>
        <v>0</v>
      </c>
      <c r="AQ139" s="227">
        <f t="shared" si="115"/>
        <v>0</v>
      </c>
      <c r="AR139" s="227">
        <f t="shared" si="115"/>
        <v>0</v>
      </c>
      <c r="AS139" s="227">
        <f t="shared" si="115"/>
        <v>0</v>
      </c>
      <c r="AT139" s="227">
        <f t="shared" si="115"/>
        <v>0</v>
      </c>
      <c r="AU139" s="227">
        <f t="shared" si="115"/>
        <v>0</v>
      </c>
      <c r="AV139" s="227">
        <f t="shared" si="115"/>
        <v>0</v>
      </c>
      <c r="AW139" s="227">
        <f t="shared" si="115"/>
        <v>0</v>
      </c>
      <c r="AX139" s="228">
        <f t="shared" si="115"/>
        <v>0</v>
      </c>
      <c r="AY139" s="288">
        <f t="shared" si="115"/>
        <v>0</v>
      </c>
      <c r="AZ139" s="227">
        <f t="shared" si="115"/>
        <v>0</v>
      </c>
      <c r="BA139" s="227">
        <f t="shared" si="115"/>
        <v>0</v>
      </c>
      <c r="BB139" s="227">
        <f t="shared" si="115"/>
        <v>0</v>
      </c>
      <c r="BC139" s="227">
        <f t="shared" si="115"/>
        <v>0</v>
      </c>
      <c r="BD139" s="227">
        <f t="shared" si="115"/>
        <v>0</v>
      </c>
      <c r="BE139" s="227">
        <f t="shared" si="115"/>
        <v>0</v>
      </c>
      <c r="BF139" s="227">
        <f t="shared" si="115"/>
        <v>0</v>
      </c>
      <c r="BG139" s="227">
        <f t="shared" si="115"/>
        <v>0</v>
      </c>
      <c r="BH139" s="227">
        <f t="shared" si="115"/>
        <v>0</v>
      </c>
      <c r="BI139" s="227">
        <f t="shared" si="115"/>
        <v>0</v>
      </c>
      <c r="BJ139" s="228">
        <f t="shared" si="115"/>
        <v>0</v>
      </c>
    </row>
    <row r="140" spans="2:62" ht="15.75">
      <c r="B140" s="215">
        <f t="shared" si="88"/>
        <v>0</v>
      </c>
      <c r="C140" s="227">
        <f aca="true" t="shared" si="116" ref="C140:AH140">+C82*($D$5+$D$4)</f>
        <v>0</v>
      </c>
      <c r="D140" s="227">
        <f t="shared" si="116"/>
        <v>0</v>
      </c>
      <c r="E140" s="227">
        <f t="shared" si="116"/>
        <v>0</v>
      </c>
      <c r="F140" s="227">
        <f t="shared" si="116"/>
        <v>0</v>
      </c>
      <c r="G140" s="227">
        <f t="shared" si="116"/>
        <v>0</v>
      </c>
      <c r="H140" s="227">
        <f t="shared" si="116"/>
        <v>0</v>
      </c>
      <c r="I140" s="227">
        <f t="shared" si="116"/>
        <v>0</v>
      </c>
      <c r="J140" s="227">
        <f t="shared" si="116"/>
        <v>0</v>
      </c>
      <c r="K140" s="227">
        <f t="shared" si="116"/>
        <v>0</v>
      </c>
      <c r="L140" s="227">
        <f t="shared" si="116"/>
        <v>0</v>
      </c>
      <c r="M140" s="227">
        <f t="shared" si="116"/>
        <v>0</v>
      </c>
      <c r="N140" s="227">
        <f t="shared" si="116"/>
        <v>0</v>
      </c>
      <c r="O140" s="288">
        <f t="shared" si="116"/>
        <v>0</v>
      </c>
      <c r="P140" s="227">
        <f t="shared" si="116"/>
        <v>0</v>
      </c>
      <c r="Q140" s="227">
        <f t="shared" si="116"/>
        <v>0</v>
      </c>
      <c r="R140" s="227">
        <f t="shared" si="116"/>
        <v>0</v>
      </c>
      <c r="S140" s="227">
        <f t="shared" si="116"/>
        <v>0</v>
      </c>
      <c r="T140" s="227">
        <f t="shared" si="116"/>
        <v>0</v>
      </c>
      <c r="U140" s="227">
        <f t="shared" si="116"/>
        <v>0</v>
      </c>
      <c r="V140" s="227">
        <f t="shared" si="116"/>
        <v>0</v>
      </c>
      <c r="W140" s="227">
        <f t="shared" si="116"/>
        <v>0</v>
      </c>
      <c r="X140" s="227">
        <f t="shared" si="116"/>
        <v>0</v>
      </c>
      <c r="Y140" s="227">
        <f t="shared" si="116"/>
        <v>0</v>
      </c>
      <c r="Z140" s="228">
        <f t="shared" si="116"/>
        <v>0</v>
      </c>
      <c r="AA140" s="288">
        <f t="shared" si="116"/>
        <v>0</v>
      </c>
      <c r="AB140" s="227">
        <f t="shared" si="116"/>
        <v>0</v>
      </c>
      <c r="AC140" s="227">
        <f t="shared" si="116"/>
        <v>0</v>
      </c>
      <c r="AD140" s="227">
        <f t="shared" si="116"/>
        <v>0</v>
      </c>
      <c r="AE140" s="227">
        <f t="shared" si="116"/>
        <v>0</v>
      </c>
      <c r="AF140" s="227">
        <f t="shared" si="116"/>
        <v>0</v>
      </c>
      <c r="AG140" s="227">
        <f t="shared" si="116"/>
        <v>0</v>
      </c>
      <c r="AH140" s="227">
        <f t="shared" si="116"/>
        <v>0</v>
      </c>
      <c r="AI140" s="227">
        <f aca="true" t="shared" si="117" ref="AI140:BJ140">+AI82*($D$5+$D$4)</f>
        <v>0</v>
      </c>
      <c r="AJ140" s="227">
        <f t="shared" si="117"/>
        <v>0</v>
      </c>
      <c r="AK140" s="227">
        <f t="shared" si="117"/>
        <v>0</v>
      </c>
      <c r="AL140" s="228">
        <f t="shared" si="117"/>
        <v>0</v>
      </c>
      <c r="AM140" s="288">
        <f t="shared" si="117"/>
        <v>0</v>
      </c>
      <c r="AN140" s="227">
        <f t="shared" si="117"/>
        <v>0</v>
      </c>
      <c r="AO140" s="227">
        <f t="shared" si="117"/>
        <v>0</v>
      </c>
      <c r="AP140" s="227">
        <f t="shared" si="117"/>
        <v>0</v>
      </c>
      <c r="AQ140" s="227">
        <f t="shared" si="117"/>
        <v>0</v>
      </c>
      <c r="AR140" s="227">
        <f t="shared" si="117"/>
        <v>0</v>
      </c>
      <c r="AS140" s="227">
        <f t="shared" si="117"/>
        <v>0</v>
      </c>
      <c r="AT140" s="227">
        <f t="shared" si="117"/>
        <v>0</v>
      </c>
      <c r="AU140" s="227">
        <f t="shared" si="117"/>
        <v>0</v>
      </c>
      <c r="AV140" s="227">
        <f t="shared" si="117"/>
        <v>0</v>
      </c>
      <c r="AW140" s="227">
        <f t="shared" si="117"/>
        <v>0</v>
      </c>
      <c r="AX140" s="228">
        <f t="shared" si="117"/>
        <v>0</v>
      </c>
      <c r="AY140" s="288">
        <f t="shared" si="117"/>
        <v>0</v>
      </c>
      <c r="AZ140" s="227">
        <f t="shared" si="117"/>
        <v>0</v>
      </c>
      <c r="BA140" s="227">
        <f t="shared" si="117"/>
        <v>0</v>
      </c>
      <c r="BB140" s="227">
        <f t="shared" si="117"/>
        <v>0</v>
      </c>
      <c r="BC140" s="227">
        <f t="shared" si="117"/>
        <v>0</v>
      </c>
      <c r="BD140" s="227">
        <f t="shared" si="117"/>
        <v>0</v>
      </c>
      <c r="BE140" s="227">
        <f t="shared" si="117"/>
        <v>0</v>
      </c>
      <c r="BF140" s="227">
        <f t="shared" si="117"/>
        <v>0</v>
      </c>
      <c r="BG140" s="227">
        <f t="shared" si="117"/>
        <v>0</v>
      </c>
      <c r="BH140" s="227">
        <f t="shared" si="117"/>
        <v>0</v>
      </c>
      <c r="BI140" s="227">
        <f t="shared" si="117"/>
        <v>0</v>
      </c>
      <c r="BJ140" s="228">
        <f t="shared" si="117"/>
        <v>0</v>
      </c>
    </row>
    <row r="141" spans="2:62" ht="15.75">
      <c r="B141" s="215">
        <f t="shared" si="88"/>
        <v>0</v>
      </c>
      <c r="C141" s="227">
        <f aca="true" t="shared" si="118" ref="C141:AH141">+C83*($D$5+$D$4)</f>
        <v>0</v>
      </c>
      <c r="D141" s="227">
        <f t="shared" si="118"/>
        <v>0</v>
      </c>
      <c r="E141" s="227">
        <f t="shared" si="118"/>
        <v>0</v>
      </c>
      <c r="F141" s="227">
        <f t="shared" si="118"/>
        <v>0</v>
      </c>
      <c r="G141" s="227">
        <f t="shared" si="118"/>
        <v>0</v>
      </c>
      <c r="H141" s="227">
        <f t="shared" si="118"/>
        <v>0</v>
      </c>
      <c r="I141" s="227">
        <f t="shared" si="118"/>
        <v>0</v>
      </c>
      <c r="J141" s="227">
        <f t="shared" si="118"/>
        <v>0</v>
      </c>
      <c r="K141" s="227">
        <f t="shared" si="118"/>
        <v>0</v>
      </c>
      <c r="L141" s="227">
        <f t="shared" si="118"/>
        <v>0</v>
      </c>
      <c r="M141" s="227">
        <f t="shared" si="118"/>
        <v>0</v>
      </c>
      <c r="N141" s="227">
        <f t="shared" si="118"/>
        <v>0</v>
      </c>
      <c r="O141" s="288">
        <f t="shared" si="118"/>
        <v>0</v>
      </c>
      <c r="P141" s="227">
        <f t="shared" si="118"/>
        <v>0</v>
      </c>
      <c r="Q141" s="227">
        <f t="shared" si="118"/>
        <v>0</v>
      </c>
      <c r="R141" s="227">
        <f t="shared" si="118"/>
        <v>0</v>
      </c>
      <c r="S141" s="227">
        <f t="shared" si="118"/>
        <v>0</v>
      </c>
      <c r="T141" s="227">
        <f t="shared" si="118"/>
        <v>0</v>
      </c>
      <c r="U141" s="227">
        <f t="shared" si="118"/>
        <v>0</v>
      </c>
      <c r="V141" s="227">
        <f t="shared" si="118"/>
        <v>0</v>
      </c>
      <c r="W141" s="227">
        <f t="shared" si="118"/>
        <v>0</v>
      </c>
      <c r="X141" s="227">
        <f t="shared" si="118"/>
        <v>0</v>
      </c>
      <c r="Y141" s="227">
        <f t="shared" si="118"/>
        <v>0</v>
      </c>
      <c r="Z141" s="228">
        <f t="shared" si="118"/>
        <v>0</v>
      </c>
      <c r="AA141" s="288">
        <f t="shared" si="118"/>
        <v>0</v>
      </c>
      <c r="AB141" s="227">
        <f t="shared" si="118"/>
        <v>0</v>
      </c>
      <c r="AC141" s="227">
        <f t="shared" si="118"/>
        <v>0</v>
      </c>
      <c r="AD141" s="227">
        <f t="shared" si="118"/>
        <v>0</v>
      </c>
      <c r="AE141" s="227">
        <f t="shared" si="118"/>
        <v>0</v>
      </c>
      <c r="AF141" s="227">
        <f t="shared" si="118"/>
        <v>0</v>
      </c>
      <c r="AG141" s="227">
        <f t="shared" si="118"/>
        <v>0</v>
      </c>
      <c r="AH141" s="227">
        <f t="shared" si="118"/>
        <v>0</v>
      </c>
      <c r="AI141" s="227">
        <f aca="true" t="shared" si="119" ref="AI141:BJ141">+AI83*($D$5+$D$4)</f>
        <v>0</v>
      </c>
      <c r="AJ141" s="227">
        <f t="shared" si="119"/>
        <v>0</v>
      </c>
      <c r="AK141" s="227">
        <f t="shared" si="119"/>
        <v>0</v>
      </c>
      <c r="AL141" s="228">
        <f t="shared" si="119"/>
        <v>0</v>
      </c>
      <c r="AM141" s="288">
        <f t="shared" si="119"/>
        <v>0</v>
      </c>
      <c r="AN141" s="227">
        <f t="shared" si="119"/>
        <v>0</v>
      </c>
      <c r="AO141" s="227">
        <f t="shared" si="119"/>
        <v>0</v>
      </c>
      <c r="AP141" s="227">
        <f t="shared" si="119"/>
        <v>0</v>
      </c>
      <c r="AQ141" s="227">
        <f t="shared" si="119"/>
        <v>0</v>
      </c>
      <c r="AR141" s="227">
        <f t="shared" si="119"/>
        <v>0</v>
      </c>
      <c r="AS141" s="227">
        <f t="shared" si="119"/>
        <v>0</v>
      </c>
      <c r="AT141" s="227">
        <f t="shared" si="119"/>
        <v>0</v>
      </c>
      <c r="AU141" s="227">
        <f t="shared" si="119"/>
        <v>0</v>
      </c>
      <c r="AV141" s="227">
        <f t="shared" si="119"/>
        <v>0</v>
      </c>
      <c r="AW141" s="227">
        <f t="shared" si="119"/>
        <v>0</v>
      </c>
      <c r="AX141" s="228">
        <f t="shared" si="119"/>
        <v>0</v>
      </c>
      <c r="AY141" s="288">
        <f t="shared" si="119"/>
        <v>0</v>
      </c>
      <c r="AZ141" s="227">
        <f t="shared" si="119"/>
        <v>0</v>
      </c>
      <c r="BA141" s="227">
        <f t="shared" si="119"/>
        <v>0</v>
      </c>
      <c r="BB141" s="227">
        <f t="shared" si="119"/>
        <v>0</v>
      </c>
      <c r="BC141" s="227">
        <f t="shared" si="119"/>
        <v>0</v>
      </c>
      <c r="BD141" s="227">
        <f t="shared" si="119"/>
        <v>0</v>
      </c>
      <c r="BE141" s="227">
        <f t="shared" si="119"/>
        <v>0</v>
      </c>
      <c r="BF141" s="227">
        <f t="shared" si="119"/>
        <v>0</v>
      </c>
      <c r="BG141" s="227">
        <f t="shared" si="119"/>
        <v>0</v>
      </c>
      <c r="BH141" s="227">
        <f t="shared" si="119"/>
        <v>0</v>
      </c>
      <c r="BI141" s="227">
        <f t="shared" si="119"/>
        <v>0</v>
      </c>
      <c r="BJ141" s="228">
        <f t="shared" si="119"/>
        <v>0</v>
      </c>
    </row>
    <row r="142" spans="2:62" ht="15.75">
      <c r="B142" s="235">
        <f t="shared" si="88"/>
        <v>0</v>
      </c>
      <c r="C142" s="227">
        <f aca="true" t="shared" si="120" ref="C142:AH142">+C84*($D$5+$D$4)</f>
        <v>0</v>
      </c>
      <c r="D142" s="227">
        <f t="shared" si="120"/>
        <v>0</v>
      </c>
      <c r="E142" s="227">
        <f t="shared" si="120"/>
        <v>0</v>
      </c>
      <c r="F142" s="227">
        <f t="shared" si="120"/>
        <v>0</v>
      </c>
      <c r="G142" s="227">
        <f t="shared" si="120"/>
        <v>0</v>
      </c>
      <c r="H142" s="227">
        <f t="shared" si="120"/>
        <v>0</v>
      </c>
      <c r="I142" s="227">
        <f t="shared" si="120"/>
        <v>0</v>
      </c>
      <c r="J142" s="227">
        <f t="shared" si="120"/>
        <v>0</v>
      </c>
      <c r="K142" s="227">
        <f t="shared" si="120"/>
        <v>0</v>
      </c>
      <c r="L142" s="227">
        <f t="shared" si="120"/>
        <v>0</v>
      </c>
      <c r="M142" s="227">
        <f t="shared" si="120"/>
        <v>0</v>
      </c>
      <c r="N142" s="227">
        <f t="shared" si="120"/>
        <v>0</v>
      </c>
      <c r="O142" s="288">
        <f t="shared" si="120"/>
        <v>0</v>
      </c>
      <c r="P142" s="227">
        <f t="shared" si="120"/>
        <v>0</v>
      </c>
      <c r="Q142" s="227">
        <f t="shared" si="120"/>
        <v>0</v>
      </c>
      <c r="R142" s="227">
        <f t="shared" si="120"/>
        <v>0</v>
      </c>
      <c r="S142" s="227">
        <f t="shared" si="120"/>
        <v>0</v>
      </c>
      <c r="T142" s="227">
        <f t="shared" si="120"/>
        <v>0</v>
      </c>
      <c r="U142" s="227">
        <f t="shared" si="120"/>
        <v>0</v>
      </c>
      <c r="V142" s="227">
        <f t="shared" si="120"/>
        <v>0</v>
      </c>
      <c r="W142" s="227">
        <f t="shared" si="120"/>
        <v>0</v>
      </c>
      <c r="X142" s="227">
        <f t="shared" si="120"/>
        <v>0</v>
      </c>
      <c r="Y142" s="227">
        <f t="shared" si="120"/>
        <v>0</v>
      </c>
      <c r="Z142" s="228">
        <f t="shared" si="120"/>
        <v>0</v>
      </c>
      <c r="AA142" s="288">
        <f t="shared" si="120"/>
        <v>0</v>
      </c>
      <c r="AB142" s="227">
        <f t="shared" si="120"/>
        <v>0</v>
      </c>
      <c r="AC142" s="227">
        <f t="shared" si="120"/>
        <v>0</v>
      </c>
      <c r="AD142" s="227">
        <f t="shared" si="120"/>
        <v>0</v>
      </c>
      <c r="AE142" s="227">
        <f t="shared" si="120"/>
        <v>0</v>
      </c>
      <c r="AF142" s="227">
        <f t="shared" si="120"/>
        <v>0</v>
      </c>
      <c r="AG142" s="227">
        <f t="shared" si="120"/>
        <v>0</v>
      </c>
      <c r="AH142" s="227">
        <f t="shared" si="120"/>
        <v>0</v>
      </c>
      <c r="AI142" s="227">
        <f aca="true" t="shared" si="121" ref="AI142:BJ142">+AI84*($D$5+$D$4)</f>
        <v>0</v>
      </c>
      <c r="AJ142" s="227">
        <f t="shared" si="121"/>
        <v>0</v>
      </c>
      <c r="AK142" s="227">
        <f t="shared" si="121"/>
        <v>0</v>
      </c>
      <c r="AL142" s="228">
        <f t="shared" si="121"/>
        <v>0</v>
      </c>
      <c r="AM142" s="288">
        <f t="shared" si="121"/>
        <v>0</v>
      </c>
      <c r="AN142" s="227">
        <f t="shared" si="121"/>
        <v>0</v>
      </c>
      <c r="AO142" s="227">
        <f t="shared" si="121"/>
        <v>0</v>
      </c>
      <c r="AP142" s="227">
        <f t="shared" si="121"/>
        <v>0</v>
      </c>
      <c r="AQ142" s="227">
        <f t="shared" si="121"/>
        <v>0</v>
      </c>
      <c r="AR142" s="227">
        <f t="shared" si="121"/>
        <v>0</v>
      </c>
      <c r="AS142" s="227">
        <f t="shared" si="121"/>
        <v>0</v>
      </c>
      <c r="AT142" s="227">
        <f t="shared" si="121"/>
        <v>0</v>
      </c>
      <c r="AU142" s="227">
        <f t="shared" si="121"/>
        <v>0</v>
      </c>
      <c r="AV142" s="227">
        <f t="shared" si="121"/>
        <v>0</v>
      </c>
      <c r="AW142" s="227">
        <f t="shared" si="121"/>
        <v>0</v>
      </c>
      <c r="AX142" s="228">
        <f t="shared" si="121"/>
        <v>0</v>
      </c>
      <c r="AY142" s="288">
        <f t="shared" si="121"/>
        <v>0</v>
      </c>
      <c r="AZ142" s="227">
        <f t="shared" si="121"/>
        <v>0</v>
      </c>
      <c r="BA142" s="227">
        <f t="shared" si="121"/>
        <v>0</v>
      </c>
      <c r="BB142" s="227">
        <f t="shared" si="121"/>
        <v>0</v>
      </c>
      <c r="BC142" s="227">
        <f t="shared" si="121"/>
        <v>0</v>
      </c>
      <c r="BD142" s="227">
        <f t="shared" si="121"/>
        <v>0</v>
      </c>
      <c r="BE142" s="227">
        <f t="shared" si="121"/>
        <v>0</v>
      </c>
      <c r="BF142" s="227">
        <f t="shared" si="121"/>
        <v>0</v>
      </c>
      <c r="BG142" s="227">
        <f t="shared" si="121"/>
        <v>0</v>
      </c>
      <c r="BH142" s="227">
        <f t="shared" si="121"/>
        <v>0</v>
      </c>
      <c r="BI142" s="227">
        <f t="shared" si="121"/>
        <v>0</v>
      </c>
      <c r="BJ142" s="228">
        <f t="shared" si="121"/>
        <v>0</v>
      </c>
    </row>
    <row r="143" spans="2:62" ht="15.75">
      <c r="B143" s="235">
        <f t="shared" si="88"/>
        <v>0</v>
      </c>
      <c r="C143" s="227">
        <f aca="true" t="shared" si="122" ref="C143:AH143">+C85*($D$5+$D$4)</f>
        <v>0</v>
      </c>
      <c r="D143" s="227">
        <f t="shared" si="122"/>
        <v>0</v>
      </c>
      <c r="E143" s="227">
        <f t="shared" si="122"/>
        <v>0</v>
      </c>
      <c r="F143" s="227">
        <f t="shared" si="122"/>
        <v>0</v>
      </c>
      <c r="G143" s="227">
        <f t="shared" si="122"/>
        <v>0</v>
      </c>
      <c r="H143" s="227">
        <f t="shared" si="122"/>
        <v>0</v>
      </c>
      <c r="I143" s="227">
        <f t="shared" si="122"/>
        <v>0</v>
      </c>
      <c r="J143" s="227">
        <f t="shared" si="122"/>
        <v>0</v>
      </c>
      <c r="K143" s="227">
        <f t="shared" si="122"/>
        <v>0</v>
      </c>
      <c r="L143" s="227">
        <f t="shared" si="122"/>
        <v>0</v>
      </c>
      <c r="M143" s="227">
        <f t="shared" si="122"/>
        <v>0</v>
      </c>
      <c r="N143" s="227">
        <f t="shared" si="122"/>
        <v>0</v>
      </c>
      <c r="O143" s="288">
        <f t="shared" si="122"/>
        <v>0</v>
      </c>
      <c r="P143" s="227">
        <f t="shared" si="122"/>
        <v>0</v>
      </c>
      <c r="Q143" s="227">
        <f t="shared" si="122"/>
        <v>0</v>
      </c>
      <c r="R143" s="227">
        <f t="shared" si="122"/>
        <v>0</v>
      </c>
      <c r="S143" s="227">
        <f t="shared" si="122"/>
        <v>0</v>
      </c>
      <c r="T143" s="227">
        <f t="shared" si="122"/>
        <v>0</v>
      </c>
      <c r="U143" s="227">
        <f t="shared" si="122"/>
        <v>0</v>
      </c>
      <c r="V143" s="227">
        <f t="shared" si="122"/>
        <v>0</v>
      </c>
      <c r="W143" s="227">
        <f t="shared" si="122"/>
        <v>0</v>
      </c>
      <c r="X143" s="227">
        <f t="shared" si="122"/>
        <v>0</v>
      </c>
      <c r="Y143" s="227">
        <f t="shared" si="122"/>
        <v>0</v>
      </c>
      <c r="Z143" s="228">
        <f t="shared" si="122"/>
        <v>0</v>
      </c>
      <c r="AA143" s="288">
        <f t="shared" si="122"/>
        <v>0</v>
      </c>
      <c r="AB143" s="227">
        <f t="shared" si="122"/>
        <v>0</v>
      </c>
      <c r="AC143" s="227">
        <f t="shared" si="122"/>
        <v>0</v>
      </c>
      <c r="AD143" s="227">
        <f t="shared" si="122"/>
        <v>0</v>
      </c>
      <c r="AE143" s="227">
        <f t="shared" si="122"/>
        <v>0</v>
      </c>
      <c r="AF143" s="227">
        <f t="shared" si="122"/>
        <v>0</v>
      </c>
      <c r="AG143" s="227">
        <f t="shared" si="122"/>
        <v>0</v>
      </c>
      <c r="AH143" s="227">
        <f t="shared" si="122"/>
        <v>0</v>
      </c>
      <c r="AI143" s="227">
        <f aca="true" t="shared" si="123" ref="AI143:BJ143">+AI85*($D$5+$D$4)</f>
        <v>0</v>
      </c>
      <c r="AJ143" s="227">
        <f t="shared" si="123"/>
        <v>0</v>
      </c>
      <c r="AK143" s="227">
        <f t="shared" si="123"/>
        <v>0</v>
      </c>
      <c r="AL143" s="228">
        <f t="shared" si="123"/>
        <v>0</v>
      </c>
      <c r="AM143" s="288">
        <f t="shared" si="123"/>
        <v>0</v>
      </c>
      <c r="AN143" s="227">
        <f t="shared" si="123"/>
        <v>0</v>
      </c>
      <c r="AO143" s="227">
        <f t="shared" si="123"/>
        <v>0</v>
      </c>
      <c r="AP143" s="227">
        <f t="shared" si="123"/>
        <v>0</v>
      </c>
      <c r="AQ143" s="227">
        <f t="shared" si="123"/>
        <v>0</v>
      </c>
      <c r="AR143" s="227">
        <f t="shared" si="123"/>
        <v>0</v>
      </c>
      <c r="AS143" s="227">
        <f t="shared" si="123"/>
        <v>0</v>
      </c>
      <c r="AT143" s="227">
        <f t="shared" si="123"/>
        <v>0</v>
      </c>
      <c r="AU143" s="227">
        <f t="shared" si="123"/>
        <v>0</v>
      </c>
      <c r="AV143" s="227">
        <f t="shared" si="123"/>
        <v>0</v>
      </c>
      <c r="AW143" s="227">
        <f t="shared" si="123"/>
        <v>0</v>
      </c>
      <c r="AX143" s="228">
        <f t="shared" si="123"/>
        <v>0</v>
      </c>
      <c r="AY143" s="288">
        <f t="shared" si="123"/>
        <v>0</v>
      </c>
      <c r="AZ143" s="227">
        <f t="shared" si="123"/>
        <v>0</v>
      </c>
      <c r="BA143" s="227">
        <f t="shared" si="123"/>
        <v>0</v>
      </c>
      <c r="BB143" s="227">
        <f t="shared" si="123"/>
        <v>0</v>
      </c>
      <c r="BC143" s="227">
        <f t="shared" si="123"/>
        <v>0</v>
      </c>
      <c r="BD143" s="227">
        <f t="shared" si="123"/>
        <v>0</v>
      </c>
      <c r="BE143" s="227">
        <f t="shared" si="123"/>
        <v>0</v>
      </c>
      <c r="BF143" s="227">
        <f t="shared" si="123"/>
        <v>0</v>
      </c>
      <c r="BG143" s="227">
        <f t="shared" si="123"/>
        <v>0</v>
      </c>
      <c r="BH143" s="227">
        <f t="shared" si="123"/>
        <v>0</v>
      </c>
      <c r="BI143" s="227">
        <f t="shared" si="123"/>
        <v>0</v>
      </c>
      <c r="BJ143" s="228">
        <f t="shared" si="123"/>
        <v>0</v>
      </c>
    </row>
    <row r="144" spans="2:62" ht="15.75">
      <c r="B144" s="235">
        <f t="shared" si="88"/>
        <v>0</v>
      </c>
      <c r="C144" s="227">
        <f aca="true" t="shared" si="124" ref="C144:AH144">+C86*($D$5+$D$4)</f>
        <v>0</v>
      </c>
      <c r="D144" s="227">
        <f t="shared" si="124"/>
        <v>0</v>
      </c>
      <c r="E144" s="227">
        <f t="shared" si="124"/>
        <v>0</v>
      </c>
      <c r="F144" s="227">
        <f t="shared" si="124"/>
        <v>0</v>
      </c>
      <c r="G144" s="227">
        <f t="shared" si="124"/>
        <v>0</v>
      </c>
      <c r="H144" s="227">
        <f t="shared" si="124"/>
        <v>0</v>
      </c>
      <c r="I144" s="227">
        <f t="shared" si="124"/>
        <v>0</v>
      </c>
      <c r="J144" s="227">
        <f t="shared" si="124"/>
        <v>0</v>
      </c>
      <c r="K144" s="227">
        <f t="shared" si="124"/>
        <v>0</v>
      </c>
      <c r="L144" s="227">
        <f t="shared" si="124"/>
        <v>0</v>
      </c>
      <c r="M144" s="227">
        <f t="shared" si="124"/>
        <v>0</v>
      </c>
      <c r="N144" s="227">
        <f t="shared" si="124"/>
        <v>0</v>
      </c>
      <c r="O144" s="288">
        <f t="shared" si="124"/>
        <v>0</v>
      </c>
      <c r="P144" s="227">
        <f t="shared" si="124"/>
        <v>0</v>
      </c>
      <c r="Q144" s="227">
        <f t="shared" si="124"/>
        <v>0</v>
      </c>
      <c r="R144" s="227">
        <f t="shared" si="124"/>
        <v>0</v>
      </c>
      <c r="S144" s="227">
        <f t="shared" si="124"/>
        <v>0</v>
      </c>
      <c r="T144" s="227">
        <f t="shared" si="124"/>
        <v>0</v>
      </c>
      <c r="U144" s="227">
        <f t="shared" si="124"/>
        <v>0</v>
      </c>
      <c r="V144" s="227">
        <f t="shared" si="124"/>
        <v>0</v>
      </c>
      <c r="W144" s="227">
        <f t="shared" si="124"/>
        <v>0</v>
      </c>
      <c r="X144" s="227">
        <f t="shared" si="124"/>
        <v>0</v>
      </c>
      <c r="Y144" s="227">
        <f t="shared" si="124"/>
        <v>0</v>
      </c>
      <c r="Z144" s="228">
        <f t="shared" si="124"/>
        <v>0</v>
      </c>
      <c r="AA144" s="288">
        <f t="shared" si="124"/>
        <v>0</v>
      </c>
      <c r="AB144" s="227">
        <f t="shared" si="124"/>
        <v>0</v>
      </c>
      <c r="AC144" s="227">
        <f t="shared" si="124"/>
        <v>0</v>
      </c>
      <c r="AD144" s="227">
        <f t="shared" si="124"/>
        <v>0</v>
      </c>
      <c r="AE144" s="227">
        <f t="shared" si="124"/>
        <v>0</v>
      </c>
      <c r="AF144" s="227">
        <f t="shared" si="124"/>
        <v>0</v>
      </c>
      <c r="AG144" s="227">
        <f t="shared" si="124"/>
        <v>0</v>
      </c>
      <c r="AH144" s="227">
        <f t="shared" si="124"/>
        <v>0</v>
      </c>
      <c r="AI144" s="227">
        <f aca="true" t="shared" si="125" ref="AI144:BJ144">+AI86*($D$5+$D$4)</f>
        <v>0</v>
      </c>
      <c r="AJ144" s="227">
        <f t="shared" si="125"/>
        <v>0</v>
      </c>
      <c r="AK144" s="227">
        <f t="shared" si="125"/>
        <v>0</v>
      </c>
      <c r="AL144" s="228">
        <f t="shared" si="125"/>
        <v>0</v>
      </c>
      <c r="AM144" s="288">
        <f t="shared" si="125"/>
        <v>0</v>
      </c>
      <c r="AN144" s="227">
        <f t="shared" si="125"/>
        <v>0</v>
      </c>
      <c r="AO144" s="227">
        <f t="shared" si="125"/>
        <v>0</v>
      </c>
      <c r="AP144" s="227">
        <f t="shared" si="125"/>
        <v>0</v>
      </c>
      <c r="AQ144" s="227">
        <f t="shared" si="125"/>
        <v>0</v>
      </c>
      <c r="AR144" s="227">
        <f t="shared" si="125"/>
        <v>0</v>
      </c>
      <c r="AS144" s="227">
        <f t="shared" si="125"/>
        <v>0</v>
      </c>
      <c r="AT144" s="227">
        <f t="shared" si="125"/>
        <v>0</v>
      </c>
      <c r="AU144" s="227">
        <f t="shared" si="125"/>
        <v>0</v>
      </c>
      <c r="AV144" s="227">
        <f t="shared" si="125"/>
        <v>0</v>
      </c>
      <c r="AW144" s="227">
        <f t="shared" si="125"/>
        <v>0</v>
      </c>
      <c r="AX144" s="228">
        <f t="shared" si="125"/>
        <v>0</v>
      </c>
      <c r="AY144" s="288">
        <f t="shared" si="125"/>
        <v>0</v>
      </c>
      <c r="AZ144" s="227">
        <f t="shared" si="125"/>
        <v>0</v>
      </c>
      <c r="BA144" s="227">
        <f t="shared" si="125"/>
        <v>0</v>
      </c>
      <c r="BB144" s="227">
        <f t="shared" si="125"/>
        <v>0</v>
      </c>
      <c r="BC144" s="227">
        <f t="shared" si="125"/>
        <v>0</v>
      </c>
      <c r="BD144" s="227">
        <f t="shared" si="125"/>
        <v>0</v>
      </c>
      <c r="BE144" s="227">
        <f t="shared" si="125"/>
        <v>0</v>
      </c>
      <c r="BF144" s="227">
        <f t="shared" si="125"/>
        <v>0</v>
      </c>
      <c r="BG144" s="227">
        <f t="shared" si="125"/>
        <v>0</v>
      </c>
      <c r="BH144" s="227">
        <f t="shared" si="125"/>
        <v>0</v>
      </c>
      <c r="BI144" s="227">
        <f t="shared" si="125"/>
        <v>0</v>
      </c>
      <c r="BJ144" s="228">
        <f t="shared" si="125"/>
        <v>0</v>
      </c>
    </row>
    <row r="145" spans="2:62" ht="15.75">
      <c r="B145" s="235">
        <f t="shared" si="88"/>
        <v>0</v>
      </c>
      <c r="C145" s="227">
        <f aca="true" t="shared" si="126" ref="C145:AH145">+C87*($D$5+$D$4)</f>
        <v>0</v>
      </c>
      <c r="D145" s="227">
        <f t="shared" si="126"/>
        <v>0</v>
      </c>
      <c r="E145" s="227">
        <f t="shared" si="126"/>
        <v>0</v>
      </c>
      <c r="F145" s="227">
        <f t="shared" si="126"/>
        <v>0</v>
      </c>
      <c r="G145" s="227">
        <f t="shared" si="126"/>
        <v>0</v>
      </c>
      <c r="H145" s="227">
        <f t="shared" si="126"/>
        <v>0</v>
      </c>
      <c r="I145" s="227">
        <f t="shared" si="126"/>
        <v>0</v>
      </c>
      <c r="J145" s="227">
        <f t="shared" si="126"/>
        <v>0</v>
      </c>
      <c r="K145" s="227">
        <f t="shared" si="126"/>
        <v>0</v>
      </c>
      <c r="L145" s="227">
        <f t="shared" si="126"/>
        <v>0</v>
      </c>
      <c r="M145" s="227">
        <f t="shared" si="126"/>
        <v>0</v>
      </c>
      <c r="N145" s="227">
        <f t="shared" si="126"/>
        <v>0</v>
      </c>
      <c r="O145" s="288">
        <f t="shared" si="126"/>
        <v>0</v>
      </c>
      <c r="P145" s="227">
        <f t="shared" si="126"/>
        <v>0</v>
      </c>
      <c r="Q145" s="227">
        <f t="shared" si="126"/>
        <v>0</v>
      </c>
      <c r="R145" s="227">
        <f t="shared" si="126"/>
        <v>0</v>
      </c>
      <c r="S145" s="227">
        <f t="shared" si="126"/>
        <v>0</v>
      </c>
      <c r="T145" s="227">
        <f t="shared" si="126"/>
        <v>0</v>
      </c>
      <c r="U145" s="227">
        <f t="shared" si="126"/>
        <v>0</v>
      </c>
      <c r="V145" s="227">
        <f t="shared" si="126"/>
        <v>0</v>
      </c>
      <c r="W145" s="227">
        <f t="shared" si="126"/>
        <v>0</v>
      </c>
      <c r="X145" s="227">
        <f t="shared" si="126"/>
        <v>0</v>
      </c>
      <c r="Y145" s="227">
        <f t="shared" si="126"/>
        <v>0</v>
      </c>
      <c r="Z145" s="228">
        <f t="shared" si="126"/>
        <v>0</v>
      </c>
      <c r="AA145" s="288">
        <f t="shared" si="126"/>
        <v>0</v>
      </c>
      <c r="AB145" s="227">
        <f t="shared" si="126"/>
        <v>0</v>
      </c>
      <c r="AC145" s="227">
        <f t="shared" si="126"/>
        <v>0</v>
      </c>
      <c r="AD145" s="227">
        <f t="shared" si="126"/>
        <v>0</v>
      </c>
      <c r="AE145" s="227">
        <f t="shared" si="126"/>
        <v>0</v>
      </c>
      <c r="AF145" s="227">
        <f t="shared" si="126"/>
        <v>0</v>
      </c>
      <c r="AG145" s="227">
        <f t="shared" si="126"/>
        <v>0</v>
      </c>
      <c r="AH145" s="227">
        <f t="shared" si="126"/>
        <v>0</v>
      </c>
      <c r="AI145" s="227">
        <f aca="true" t="shared" si="127" ref="AI145:BJ145">+AI87*($D$5+$D$4)</f>
        <v>0</v>
      </c>
      <c r="AJ145" s="227">
        <f t="shared" si="127"/>
        <v>0</v>
      </c>
      <c r="AK145" s="227">
        <f t="shared" si="127"/>
        <v>0</v>
      </c>
      <c r="AL145" s="228">
        <f t="shared" si="127"/>
        <v>0</v>
      </c>
      <c r="AM145" s="288">
        <f t="shared" si="127"/>
        <v>0</v>
      </c>
      <c r="AN145" s="227">
        <f t="shared" si="127"/>
        <v>0</v>
      </c>
      <c r="AO145" s="227">
        <f t="shared" si="127"/>
        <v>0</v>
      </c>
      <c r="AP145" s="227">
        <f t="shared" si="127"/>
        <v>0</v>
      </c>
      <c r="AQ145" s="227">
        <f t="shared" si="127"/>
        <v>0</v>
      </c>
      <c r="AR145" s="227">
        <f t="shared" si="127"/>
        <v>0</v>
      </c>
      <c r="AS145" s="227">
        <f t="shared" si="127"/>
        <v>0</v>
      </c>
      <c r="AT145" s="227">
        <f t="shared" si="127"/>
        <v>0</v>
      </c>
      <c r="AU145" s="227">
        <f t="shared" si="127"/>
        <v>0</v>
      </c>
      <c r="AV145" s="227">
        <f t="shared" si="127"/>
        <v>0</v>
      </c>
      <c r="AW145" s="227">
        <f t="shared" si="127"/>
        <v>0</v>
      </c>
      <c r="AX145" s="228">
        <f t="shared" si="127"/>
        <v>0</v>
      </c>
      <c r="AY145" s="288">
        <f t="shared" si="127"/>
        <v>0</v>
      </c>
      <c r="AZ145" s="227">
        <f t="shared" si="127"/>
        <v>0</v>
      </c>
      <c r="BA145" s="227">
        <f t="shared" si="127"/>
        <v>0</v>
      </c>
      <c r="BB145" s="227">
        <f t="shared" si="127"/>
        <v>0</v>
      </c>
      <c r="BC145" s="227">
        <f t="shared" si="127"/>
        <v>0</v>
      </c>
      <c r="BD145" s="227">
        <f t="shared" si="127"/>
        <v>0</v>
      </c>
      <c r="BE145" s="227">
        <f t="shared" si="127"/>
        <v>0</v>
      </c>
      <c r="BF145" s="227">
        <f t="shared" si="127"/>
        <v>0</v>
      </c>
      <c r="BG145" s="227">
        <f t="shared" si="127"/>
        <v>0</v>
      </c>
      <c r="BH145" s="227">
        <f t="shared" si="127"/>
        <v>0</v>
      </c>
      <c r="BI145" s="227">
        <f t="shared" si="127"/>
        <v>0</v>
      </c>
      <c r="BJ145" s="228">
        <f t="shared" si="127"/>
        <v>0</v>
      </c>
    </row>
    <row r="146" spans="2:62" ht="15.75">
      <c r="B146" s="235">
        <f t="shared" si="88"/>
        <v>0</v>
      </c>
      <c r="C146" s="227">
        <f aca="true" t="shared" si="128" ref="C146:AH146">+C88*($D$5+$D$4)</f>
        <v>0</v>
      </c>
      <c r="D146" s="227">
        <f t="shared" si="128"/>
        <v>0</v>
      </c>
      <c r="E146" s="227">
        <f t="shared" si="128"/>
        <v>0</v>
      </c>
      <c r="F146" s="227">
        <f t="shared" si="128"/>
        <v>0</v>
      </c>
      <c r="G146" s="227">
        <f t="shared" si="128"/>
        <v>0</v>
      </c>
      <c r="H146" s="227">
        <f t="shared" si="128"/>
        <v>0</v>
      </c>
      <c r="I146" s="227">
        <f t="shared" si="128"/>
        <v>0</v>
      </c>
      <c r="J146" s="227">
        <f t="shared" si="128"/>
        <v>0</v>
      </c>
      <c r="K146" s="227">
        <f t="shared" si="128"/>
        <v>0</v>
      </c>
      <c r="L146" s="227">
        <f t="shared" si="128"/>
        <v>0</v>
      </c>
      <c r="M146" s="227">
        <f t="shared" si="128"/>
        <v>0</v>
      </c>
      <c r="N146" s="227">
        <f t="shared" si="128"/>
        <v>0</v>
      </c>
      <c r="O146" s="288">
        <f t="shared" si="128"/>
        <v>0</v>
      </c>
      <c r="P146" s="227">
        <f t="shared" si="128"/>
        <v>0</v>
      </c>
      <c r="Q146" s="227">
        <f t="shared" si="128"/>
        <v>0</v>
      </c>
      <c r="R146" s="227">
        <f t="shared" si="128"/>
        <v>0</v>
      </c>
      <c r="S146" s="227">
        <f t="shared" si="128"/>
        <v>0</v>
      </c>
      <c r="T146" s="227">
        <f t="shared" si="128"/>
        <v>0</v>
      </c>
      <c r="U146" s="227">
        <f t="shared" si="128"/>
        <v>0</v>
      </c>
      <c r="V146" s="227">
        <f t="shared" si="128"/>
        <v>0</v>
      </c>
      <c r="W146" s="227">
        <f t="shared" si="128"/>
        <v>0</v>
      </c>
      <c r="X146" s="227">
        <f t="shared" si="128"/>
        <v>0</v>
      </c>
      <c r="Y146" s="227">
        <f t="shared" si="128"/>
        <v>0</v>
      </c>
      <c r="Z146" s="228">
        <f t="shared" si="128"/>
        <v>0</v>
      </c>
      <c r="AA146" s="288">
        <f t="shared" si="128"/>
        <v>0</v>
      </c>
      <c r="AB146" s="227">
        <f t="shared" si="128"/>
        <v>0</v>
      </c>
      <c r="AC146" s="227">
        <f t="shared" si="128"/>
        <v>0</v>
      </c>
      <c r="AD146" s="227">
        <f t="shared" si="128"/>
        <v>0</v>
      </c>
      <c r="AE146" s="227">
        <f t="shared" si="128"/>
        <v>0</v>
      </c>
      <c r="AF146" s="227">
        <f t="shared" si="128"/>
        <v>0</v>
      </c>
      <c r="AG146" s="227">
        <f t="shared" si="128"/>
        <v>0</v>
      </c>
      <c r="AH146" s="227">
        <f t="shared" si="128"/>
        <v>0</v>
      </c>
      <c r="AI146" s="227">
        <f aca="true" t="shared" si="129" ref="AI146:BJ146">+AI88*($D$5+$D$4)</f>
        <v>0</v>
      </c>
      <c r="AJ146" s="227">
        <f t="shared" si="129"/>
        <v>0</v>
      </c>
      <c r="AK146" s="227">
        <f t="shared" si="129"/>
        <v>0</v>
      </c>
      <c r="AL146" s="228">
        <f t="shared" si="129"/>
        <v>0</v>
      </c>
      <c r="AM146" s="288">
        <f t="shared" si="129"/>
        <v>0</v>
      </c>
      <c r="AN146" s="227">
        <f t="shared" si="129"/>
        <v>0</v>
      </c>
      <c r="AO146" s="227">
        <f t="shared" si="129"/>
        <v>0</v>
      </c>
      <c r="AP146" s="227">
        <f t="shared" si="129"/>
        <v>0</v>
      </c>
      <c r="AQ146" s="227">
        <f t="shared" si="129"/>
        <v>0</v>
      </c>
      <c r="AR146" s="227">
        <f t="shared" si="129"/>
        <v>0</v>
      </c>
      <c r="AS146" s="227">
        <f t="shared" si="129"/>
        <v>0</v>
      </c>
      <c r="AT146" s="227">
        <f t="shared" si="129"/>
        <v>0</v>
      </c>
      <c r="AU146" s="227">
        <f t="shared" si="129"/>
        <v>0</v>
      </c>
      <c r="AV146" s="227">
        <f t="shared" si="129"/>
        <v>0</v>
      </c>
      <c r="AW146" s="227">
        <f t="shared" si="129"/>
        <v>0</v>
      </c>
      <c r="AX146" s="228">
        <f t="shared" si="129"/>
        <v>0</v>
      </c>
      <c r="AY146" s="288">
        <f t="shared" si="129"/>
        <v>0</v>
      </c>
      <c r="AZ146" s="227">
        <f t="shared" si="129"/>
        <v>0</v>
      </c>
      <c r="BA146" s="227">
        <f t="shared" si="129"/>
        <v>0</v>
      </c>
      <c r="BB146" s="227">
        <f t="shared" si="129"/>
        <v>0</v>
      </c>
      <c r="BC146" s="227">
        <f t="shared" si="129"/>
        <v>0</v>
      </c>
      <c r="BD146" s="227">
        <f t="shared" si="129"/>
        <v>0</v>
      </c>
      <c r="BE146" s="227">
        <f t="shared" si="129"/>
        <v>0</v>
      </c>
      <c r="BF146" s="227">
        <f t="shared" si="129"/>
        <v>0</v>
      </c>
      <c r="BG146" s="227">
        <f t="shared" si="129"/>
        <v>0</v>
      </c>
      <c r="BH146" s="227">
        <f t="shared" si="129"/>
        <v>0</v>
      </c>
      <c r="BI146" s="227">
        <f t="shared" si="129"/>
        <v>0</v>
      </c>
      <c r="BJ146" s="228">
        <f t="shared" si="129"/>
        <v>0</v>
      </c>
    </row>
    <row r="147" spans="2:62" ht="15.75">
      <c r="B147" s="235">
        <f t="shared" si="88"/>
        <v>0</v>
      </c>
      <c r="C147" s="227">
        <f aca="true" t="shared" si="130" ref="C147:AH147">+C89*($D$5+$D$4)</f>
        <v>0</v>
      </c>
      <c r="D147" s="227">
        <f t="shared" si="130"/>
        <v>0</v>
      </c>
      <c r="E147" s="227">
        <f t="shared" si="130"/>
        <v>0</v>
      </c>
      <c r="F147" s="227">
        <f t="shared" si="130"/>
        <v>0</v>
      </c>
      <c r="G147" s="227">
        <f t="shared" si="130"/>
        <v>0</v>
      </c>
      <c r="H147" s="227">
        <f t="shared" si="130"/>
        <v>0</v>
      </c>
      <c r="I147" s="227">
        <f t="shared" si="130"/>
        <v>0</v>
      </c>
      <c r="J147" s="227">
        <f t="shared" si="130"/>
        <v>0</v>
      </c>
      <c r="K147" s="227">
        <f t="shared" si="130"/>
        <v>0</v>
      </c>
      <c r="L147" s="227">
        <f t="shared" si="130"/>
        <v>0</v>
      </c>
      <c r="M147" s="227">
        <f t="shared" si="130"/>
        <v>0</v>
      </c>
      <c r="N147" s="227">
        <f t="shared" si="130"/>
        <v>0</v>
      </c>
      <c r="O147" s="288">
        <f t="shared" si="130"/>
        <v>0</v>
      </c>
      <c r="P147" s="227">
        <f t="shared" si="130"/>
        <v>0</v>
      </c>
      <c r="Q147" s="227">
        <f t="shared" si="130"/>
        <v>0</v>
      </c>
      <c r="R147" s="227">
        <f t="shared" si="130"/>
        <v>0</v>
      </c>
      <c r="S147" s="227">
        <f t="shared" si="130"/>
        <v>0</v>
      </c>
      <c r="T147" s="227">
        <f t="shared" si="130"/>
        <v>0</v>
      </c>
      <c r="U147" s="227">
        <f t="shared" si="130"/>
        <v>0</v>
      </c>
      <c r="V147" s="227">
        <f t="shared" si="130"/>
        <v>0</v>
      </c>
      <c r="W147" s="227">
        <f t="shared" si="130"/>
        <v>0</v>
      </c>
      <c r="X147" s="227">
        <f t="shared" si="130"/>
        <v>0</v>
      </c>
      <c r="Y147" s="227">
        <f t="shared" si="130"/>
        <v>0</v>
      </c>
      <c r="Z147" s="228">
        <f t="shared" si="130"/>
        <v>0</v>
      </c>
      <c r="AA147" s="288">
        <f t="shared" si="130"/>
        <v>0</v>
      </c>
      <c r="AB147" s="227">
        <f t="shared" si="130"/>
        <v>0</v>
      </c>
      <c r="AC147" s="227">
        <f t="shared" si="130"/>
        <v>0</v>
      </c>
      <c r="AD147" s="227">
        <f t="shared" si="130"/>
        <v>0</v>
      </c>
      <c r="AE147" s="227">
        <f t="shared" si="130"/>
        <v>0</v>
      </c>
      <c r="AF147" s="227">
        <f t="shared" si="130"/>
        <v>0</v>
      </c>
      <c r="AG147" s="227">
        <f t="shared" si="130"/>
        <v>0</v>
      </c>
      <c r="AH147" s="227">
        <f t="shared" si="130"/>
        <v>0</v>
      </c>
      <c r="AI147" s="227">
        <f aca="true" t="shared" si="131" ref="AI147:BJ147">+AI89*($D$5+$D$4)</f>
        <v>0</v>
      </c>
      <c r="AJ147" s="227">
        <f t="shared" si="131"/>
        <v>0</v>
      </c>
      <c r="AK147" s="227">
        <f t="shared" si="131"/>
        <v>0</v>
      </c>
      <c r="AL147" s="228">
        <f t="shared" si="131"/>
        <v>0</v>
      </c>
      <c r="AM147" s="288">
        <f t="shared" si="131"/>
        <v>0</v>
      </c>
      <c r="AN147" s="227">
        <f t="shared" si="131"/>
        <v>0</v>
      </c>
      <c r="AO147" s="227">
        <f t="shared" si="131"/>
        <v>0</v>
      </c>
      <c r="AP147" s="227">
        <f t="shared" si="131"/>
        <v>0</v>
      </c>
      <c r="AQ147" s="227">
        <f t="shared" si="131"/>
        <v>0</v>
      </c>
      <c r="AR147" s="227">
        <f t="shared" si="131"/>
        <v>0</v>
      </c>
      <c r="AS147" s="227">
        <f t="shared" si="131"/>
        <v>0</v>
      </c>
      <c r="AT147" s="227">
        <f t="shared" si="131"/>
        <v>0</v>
      </c>
      <c r="AU147" s="227">
        <f t="shared" si="131"/>
        <v>0</v>
      </c>
      <c r="AV147" s="227">
        <f t="shared" si="131"/>
        <v>0</v>
      </c>
      <c r="AW147" s="227">
        <f t="shared" si="131"/>
        <v>0</v>
      </c>
      <c r="AX147" s="228">
        <f t="shared" si="131"/>
        <v>0</v>
      </c>
      <c r="AY147" s="288">
        <f t="shared" si="131"/>
        <v>0</v>
      </c>
      <c r="AZ147" s="227">
        <f t="shared" si="131"/>
        <v>0</v>
      </c>
      <c r="BA147" s="227">
        <f t="shared" si="131"/>
        <v>0</v>
      </c>
      <c r="BB147" s="227">
        <f t="shared" si="131"/>
        <v>0</v>
      </c>
      <c r="BC147" s="227">
        <f t="shared" si="131"/>
        <v>0</v>
      </c>
      <c r="BD147" s="227">
        <f t="shared" si="131"/>
        <v>0</v>
      </c>
      <c r="BE147" s="227">
        <f t="shared" si="131"/>
        <v>0</v>
      </c>
      <c r="BF147" s="227">
        <f t="shared" si="131"/>
        <v>0</v>
      </c>
      <c r="BG147" s="227">
        <f t="shared" si="131"/>
        <v>0</v>
      </c>
      <c r="BH147" s="227">
        <f t="shared" si="131"/>
        <v>0</v>
      </c>
      <c r="BI147" s="227">
        <f t="shared" si="131"/>
        <v>0</v>
      </c>
      <c r="BJ147" s="228">
        <f t="shared" si="131"/>
        <v>0</v>
      </c>
    </row>
    <row r="148" spans="2:62" ht="16.2" thickBot="1">
      <c r="B148" s="241"/>
      <c r="C148" s="229"/>
      <c r="D148" s="229"/>
      <c r="E148" s="229"/>
      <c r="F148" s="229"/>
      <c r="G148" s="229"/>
      <c r="H148" s="229"/>
      <c r="I148" s="229"/>
      <c r="J148" s="229"/>
      <c r="K148" s="229"/>
      <c r="L148" s="229"/>
      <c r="M148" s="229"/>
      <c r="N148" s="229"/>
      <c r="O148" s="289"/>
      <c r="P148" s="229"/>
      <c r="Q148" s="229"/>
      <c r="R148" s="229"/>
      <c r="S148" s="229"/>
      <c r="T148" s="229"/>
      <c r="U148" s="229"/>
      <c r="V148" s="229"/>
      <c r="W148" s="229"/>
      <c r="X148" s="229"/>
      <c r="Y148" s="229"/>
      <c r="Z148" s="230"/>
      <c r="AA148" s="289"/>
      <c r="AB148" s="229"/>
      <c r="AC148" s="229"/>
      <c r="AD148" s="229"/>
      <c r="AE148" s="229"/>
      <c r="AF148" s="229"/>
      <c r="AG148" s="229"/>
      <c r="AH148" s="229"/>
      <c r="AI148" s="229"/>
      <c r="AJ148" s="229"/>
      <c r="AK148" s="229"/>
      <c r="AL148" s="230"/>
      <c r="AM148" s="289"/>
      <c r="AN148" s="229"/>
      <c r="AO148" s="229"/>
      <c r="AP148" s="229"/>
      <c r="AQ148" s="229"/>
      <c r="AR148" s="229"/>
      <c r="AS148" s="229"/>
      <c r="AT148" s="229"/>
      <c r="AU148" s="229"/>
      <c r="AV148" s="229"/>
      <c r="AW148" s="229"/>
      <c r="AX148" s="230"/>
      <c r="AY148" s="289"/>
      <c r="AZ148" s="229"/>
      <c r="BA148" s="229"/>
      <c r="BB148" s="229"/>
      <c r="BC148" s="229"/>
      <c r="BD148" s="229"/>
      <c r="BE148" s="229"/>
      <c r="BF148" s="229"/>
      <c r="BG148" s="229"/>
      <c r="BH148" s="229"/>
      <c r="BI148" s="229"/>
      <c r="BJ148" s="230"/>
    </row>
    <row r="149" spans="1:65" ht="15.75">
      <c r="A149" s="91"/>
      <c r="B149" s="233"/>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row>
    <row r="150" spans="1:65" ht="15.75">
      <c r="A150" s="91"/>
      <c r="B150" s="233"/>
      <c r="C150" s="23"/>
      <c r="D150" s="23"/>
      <c r="E150" s="23"/>
      <c r="F150" s="23"/>
      <c r="G150" s="73"/>
      <c r="H150" s="23"/>
      <c r="I150" s="23"/>
      <c r="J150" s="23"/>
      <c r="K150" s="23"/>
      <c r="L150" s="73"/>
      <c r="M150" s="23"/>
      <c r="N150" s="23"/>
      <c r="O150" s="23"/>
      <c r="P150" s="23"/>
      <c r="Q150" s="73"/>
      <c r="R150" s="23"/>
      <c r="S150" s="23"/>
      <c r="T150" s="23"/>
      <c r="U150" s="23"/>
      <c r="V150" s="23"/>
      <c r="W150" s="23"/>
      <c r="X150" s="73"/>
      <c r="Y150" s="23"/>
      <c r="Z150" s="23"/>
      <c r="AA150" s="23"/>
      <c r="AB150" s="23"/>
      <c r="AC150" s="73"/>
      <c r="AD150" s="23"/>
      <c r="AE150" s="23"/>
      <c r="AF150" s="23"/>
      <c r="AG150" s="23"/>
      <c r="AH150" s="23"/>
      <c r="AI150" s="23"/>
      <c r="AJ150" s="73"/>
      <c r="AK150" s="23"/>
      <c r="AL150" s="23"/>
      <c r="AM150" s="23"/>
      <c r="AN150" s="23"/>
      <c r="AO150" s="73"/>
      <c r="AP150" s="23"/>
      <c r="AQ150" s="23"/>
      <c r="AR150" s="23"/>
      <c r="AS150" s="23"/>
      <c r="AT150" s="23"/>
      <c r="AU150" s="23"/>
      <c r="AV150" s="73"/>
      <c r="AW150" s="23"/>
      <c r="AX150" s="23"/>
      <c r="AY150" s="23"/>
      <c r="AZ150" s="23"/>
      <c r="BA150" s="73"/>
      <c r="BB150" s="23"/>
      <c r="BC150" s="23"/>
      <c r="BD150" s="23"/>
      <c r="BE150" s="23"/>
      <c r="BF150" s="23"/>
      <c r="BG150" s="23"/>
      <c r="BH150" s="73"/>
      <c r="BI150" s="23"/>
      <c r="BJ150" s="23"/>
      <c r="BK150" s="23"/>
      <c r="BL150" s="23"/>
      <c r="BM150" s="73"/>
    </row>
    <row r="151" spans="1:65" ht="15.75">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row>
    <row r="152" spans="1:65" ht="15.75">
      <c r="A152" s="91"/>
      <c r="B152" s="221"/>
      <c r="C152" s="132"/>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row>
    <row r="153" spans="1:65" ht="15.75">
      <c r="A153" s="91"/>
      <c r="B153" s="55"/>
      <c r="C153" s="220"/>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row>
    <row r="154" spans="1:65" ht="15.75">
      <c r="A154" s="91"/>
      <c r="B154" s="55"/>
      <c r="C154" s="1633"/>
      <c r="D154" s="1633"/>
      <c r="E154" s="1633"/>
      <c r="F154" s="1633"/>
      <c r="G154" s="1632"/>
      <c r="H154" s="1633"/>
      <c r="I154" s="1633"/>
      <c r="J154" s="1633"/>
      <c r="K154" s="1633"/>
      <c r="L154" s="1632"/>
      <c r="M154" s="1633"/>
      <c r="N154" s="1633"/>
      <c r="O154" s="1633"/>
      <c r="P154" s="1633"/>
      <c r="Q154" s="1632"/>
      <c r="R154" s="1633"/>
      <c r="S154" s="1633"/>
      <c r="T154" s="1633"/>
      <c r="X154" s="1632"/>
      <c r="Y154" s="1633"/>
      <c r="Z154" s="1633"/>
      <c r="AA154" s="1633"/>
      <c r="AB154" s="1633"/>
      <c r="AC154" s="1632"/>
      <c r="AD154" s="1633"/>
      <c r="AE154" s="1633"/>
      <c r="AF154" s="1633"/>
      <c r="AJ154" s="1632"/>
      <c r="AK154" s="1633"/>
      <c r="AL154" s="1633"/>
      <c r="AM154" s="1633"/>
      <c r="AN154" s="1633"/>
      <c r="AO154" s="1632"/>
      <c r="AP154" s="1633"/>
      <c r="AQ154" s="1633"/>
      <c r="AR154" s="1633"/>
      <c r="AV154" s="1632"/>
      <c r="AW154" s="1633"/>
      <c r="AX154" s="1633"/>
      <c r="AY154" s="1633"/>
      <c r="AZ154" s="1633"/>
      <c r="BA154" s="1632"/>
      <c r="BB154" s="1633"/>
      <c r="BC154" s="1633"/>
      <c r="BD154" s="1633"/>
      <c r="BH154" s="1632"/>
      <c r="BI154" s="1633"/>
      <c r="BJ154" s="1633"/>
      <c r="BK154" s="1633"/>
      <c r="BL154" s="1633"/>
      <c r="BM154" s="1632"/>
    </row>
    <row r="155" spans="1:65" ht="15.75">
      <c r="A155" s="91"/>
      <c r="B155" s="132"/>
      <c r="C155" s="132"/>
      <c r="D155" s="132"/>
      <c r="E155" s="132"/>
      <c r="F155" s="132"/>
      <c r="G155" s="1632"/>
      <c r="H155" s="132"/>
      <c r="I155" s="132"/>
      <c r="J155" s="132"/>
      <c r="K155" s="132"/>
      <c r="L155" s="1632"/>
      <c r="M155" s="132"/>
      <c r="N155" s="132"/>
      <c r="O155" s="132"/>
      <c r="P155" s="132"/>
      <c r="Q155" s="1632"/>
      <c r="R155" s="132"/>
      <c r="S155" s="132"/>
      <c r="T155" s="132"/>
      <c r="U155" s="132"/>
      <c r="V155" s="132"/>
      <c r="W155" s="132"/>
      <c r="X155" s="1632"/>
      <c r="Y155" s="132"/>
      <c r="Z155" s="132"/>
      <c r="AA155" s="132"/>
      <c r="AB155" s="132"/>
      <c r="AC155" s="1632"/>
      <c r="AD155" s="132"/>
      <c r="AE155" s="132"/>
      <c r="AF155" s="132"/>
      <c r="AG155" s="132"/>
      <c r="AH155" s="132"/>
      <c r="AI155" s="132"/>
      <c r="AJ155" s="1632"/>
      <c r="AK155" s="132"/>
      <c r="AL155" s="132"/>
      <c r="AM155" s="132"/>
      <c r="AN155" s="132"/>
      <c r="AO155" s="1632"/>
      <c r="AP155" s="132"/>
      <c r="AQ155" s="132"/>
      <c r="AR155" s="132"/>
      <c r="AS155" s="132"/>
      <c r="AT155" s="132"/>
      <c r="AU155" s="132"/>
      <c r="AV155" s="1632"/>
      <c r="AW155" s="132"/>
      <c r="AX155" s="132"/>
      <c r="AY155" s="132"/>
      <c r="AZ155" s="132"/>
      <c r="BA155" s="1632"/>
      <c r="BB155" s="132"/>
      <c r="BC155" s="132"/>
      <c r="BD155" s="132"/>
      <c r="BE155" s="132"/>
      <c r="BF155" s="132"/>
      <c r="BG155" s="132"/>
      <c r="BH155" s="1632"/>
      <c r="BI155" s="132"/>
      <c r="BJ155" s="132"/>
      <c r="BK155" s="132"/>
      <c r="BL155" s="132"/>
      <c r="BM155" s="1632"/>
    </row>
    <row r="156" spans="1:65" ht="15.75">
      <c r="A156" s="91"/>
      <c r="B156" s="222"/>
      <c r="C156" s="23"/>
      <c r="D156" s="23"/>
      <c r="E156" s="23"/>
      <c r="F156" s="23"/>
      <c r="G156" s="73"/>
      <c r="H156" s="23"/>
      <c r="I156" s="23"/>
      <c r="J156" s="23"/>
      <c r="K156" s="23"/>
      <c r="L156" s="73"/>
      <c r="M156" s="23"/>
      <c r="N156" s="23"/>
      <c r="O156" s="23"/>
      <c r="P156" s="23"/>
      <c r="Q156" s="73"/>
      <c r="R156" s="23"/>
      <c r="S156" s="23"/>
      <c r="T156" s="23"/>
      <c r="U156" s="23"/>
      <c r="V156" s="23"/>
      <c r="W156" s="23"/>
      <c r="X156" s="73"/>
      <c r="Y156" s="23"/>
      <c r="Z156" s="23"/>
      <c r="AA156" s="23"/>
      <c r="AB156" s="23"/>
      <c r="AC156" s="73"/>
      <c r="AD156" s="23"/>
      <c r="AE156" s="23"/>
      <c r="AF156" s="23"/>
      <c r="AG156" s="23"/>
      <c r="AH156" s="23"/>
      <c r="AI156" s="23"/>
      <c r="AJ156" s="73"/>
      <c r="AK156" s="23"/>
      <c r="AL156" s="23"/>
      <c r="AM156" s="23"/>
      <c r="AN156" s="23"/>
      <c r="AO156" s="73"/>
      <c r="AP156" s="23"/>
      <c r="AQ156" s="23"/>
      <c r="AR156" s="23"/>
      <c r="AS156" s="23"/>
      <c r="AT156" s="23"/>
      <c r="AU156" s="23"/>
      <c r="AV156" s="73"/>
      <c r="AW156" s="23"/>
      <c r="AX156" s="23"/>
      <c r="AY156" s="23"/>
      <c r="AZ156" s="23"/>
      <c r="BA156" s="73"/>
      <c r="BB156" s="23"/>
      <c r="BC156" s="23"/>
      <c r="BD156" s="23"/>
      <c r="BE156" s="23"/>
      <c r="BF156" s="23"/>
      <c r="BG156" s="23"/>
      <c r="BH156" s="73"/>
      <c r="BI156" s="23"/>
      <c r="BJ156" s="23"/>
      <c r="BK156" s="23"/>
      <c r="BL156" s="23"/>
      <c r="BM156" s="73"/>
    </row>
    <row r="157" spans="1:65" ht="15.75">
      <c r="A157" s="91"/>
      <c r="B157" s="223"/>
      <c r="C157" s="23"/>
      <c r="D157" s="23"/>
      <c r="E157" s="23"/>
      <c r="F157" s="23"/>
      <c r="G157" s="73"/>
      <c r="H157" s="23"/>
      <c r="I157" s="23"/>
      <c r="J157" s="23"/>
      <c r="K157" s="23"/>
      <c r="L157" s="73"/>
      <c r="M157" s="23"/>
      <c r="N157" s="23"/>
      <c r="O157" s="23"/>
      <c r="P157" s="23"/>
      <c r="Q157" s="73"/>
      <c r="R157" s="23"/>
      <c r="S157" s="23"/>
      <c r="T157" s="23"/>
      <c r="U157" s="23"/>
      <c r="V157" s="23"/>
      <c r="W157" s="23"/>
      <c r="X157" s="73"/>
      <c r="Y157" s="23"/>
      <c r="Z157" s="23"/>
      <c r="AA157" s="23"/>
      <c r="AB157" s="23"/>
      <c r="AC157" s="73"/>
      <c r="AD157" s="23"/>
      <c r="AE157" s="23"/>
      <c r="AF157" s="23"/>
      <c r="AG157" s="23"/>
      <c r="AH157" s="23"/>
      <c r="AI157" s="23"/>
      <c r="AJ157" s="73"/>
      <c r="AK157" s="23"/>
      <c r="AL157" s="23"/>
      <c r="AM157" s="23"/>
      <c r="AN157" s="23"/>
      <c r="AO157" s="73"/>
      <c r="AP157" s="23"/>
      <c r="AQ157" s="23"/>
      <c r="AR157" s="23"/>
      <c r="AS157" s="23"/>
      <c r="AT157" s="23"/>
      <c r="AU157" s="23"/>
      <c r="AV157" s="73"/>
      <c r="AW157" s="23"/>
      <c r="AX157" s="23"/>
      <c r="AY157" s="23"/>
      <c r="AZ157" s="23"/>
      <c r="BA157" s="73"/>
      <c r="BB157" s="23"/>
      <c r="BC157" s="23"/>
      <c r="BD157" s="23"/>
      <c r="BE157" s="23"/>
      <c r="BF157" s="23"/>
      <c r="BG157" s="23"/>
      <c r="BH157" s="73"/>
      <c r="BI157" s="23"/>
      <c r="BJ157" s="23"/>
      <c r="BK157" s="23"/>
      <c r="BL157" s="23"/>
      <c r="BM157" s="73"/>
    </row>
    <row r="158" spans="1:65" ht="15.75">
      <c r="A158" s="91"/>
      <c r="B158" s="223"/>
      <c r="C158" s="23"/>
      <c r="D158" s="23"/>
      <c r="E158" s="23"/>
      <c r="F158" s="23"/>
      <c r="G158" s="73"/>
      <c r="H158" s="23"/>
      <c r="I158" s="23"/>
      <c r="J158" s="23"/>
      <c r="K158" s="23"/>
      <c r="L158" s="73"/>
      <c r="M158" s="23"/>
      <c r="N158" s="23"/>
      <c r="O158" s="23"/>
      <c r="P158" s="23"/>
      <c r="Q158" s="73"/>
      <c r="R158" s="23"/>
      <c r="S158" s="23"/>
      <c r="T158" s="23"/>
      <c r="U158" s="23"/>
      <c r="V158" s="23"/>
      <c r="W158" s="23"/>
      <c r="X158" s="73"/>
      <c r="Y158" s="23"/>
      <c r="Z158" s="23"/>
      <c r="AA158" s="23"/>
      <c r="AB158" s="23"/>
      <c r="AC158" s="73"/>
      <c r="AD158" s="23"/>
      <c r="AE158" s="23"/>
      <c r="AF158" s="23"/>
      <c r="AG158" s="23"/>
      <c r="AH158" s="23"/>
      <c r="AI158" s="23"/>
      <c r="AJ158" s="73"/>
      <c r="AK158" s="23"/>
      <c r="AL158" s="23"/>
      <c r="AM158" s="23"/>
      <c r="AN158" s="23"/>
      <c r="AO158" s="73"/>
      <c r="AP158" s="23"/>
      <c r="AQ158" s="23"/>
      <c r="AR158" s="23"/>
      <c r="AS158" s="23"/>
      <c r="AT158" s="23"/>
      <c r="AU158" s="23"/>
      <c r="AV158" s="73"/>
      <c r="AW158" s="23"/>
      <c r="AX158" s="23"/>
      <c r="AY158" s="23"/>
      <c r="AZ158" s="23"/>
      <c r="BA158" s="73"/>
      <c r="BB158" s="23"/>
      <c r="BC158" s="23"/>
      <c r="BD158" s="23"/>
      <c r="BE158" s="23"/>
      <c r="BF158" s="23"/>
      <c r="BG158" s="23"/>
      <c r="BH158" s="73"/>
      <c r="BI158" s="23"/>
      <c r="BJ158" s="23"/>
      <c r="BK158" s="23"/>
      <c r="BL158" s="23"/>
      <c r="BM158" s="73"/>
    </row>
    <row r="159" spans="1:65" ht="15.75">
      <c r="A159" s="91"/>
      <c r="B159" s="224"/>
      <c r="C159" s="23"/>
      <c r="D159" s="23"/>
      <c r="E159" s="23"/>
      <c r="F159" s="23"/>
      <c r="G159" s="73"/>
      <c r="H159" s="23"/>
      <c r="I159" s="23"/>
      <c r="J159" s="23"/>
      <c r="K159" s="23"/>
      <c r="L159" s="73"/>
      <c r="M159" s="23"/>
      <c r="N159" s="23"/>
      <c r="O159" s="23"/>
      <c r="P159" s="23"/>
      <c r="Q159" s="73"/>
      <c r="R159" s="23"/>
      <c r="S159" s="23"/>
      <c r="T159" s="23"/>
      <c r="U159" s="23"/>
      <c r="V159" s="23"/>
      <c r="W159" s="23"/>
      <c r="X159" s="73"/>
      <c r="Y159" s="23"/>
      <c r="Z159" s="23"/>
      <c r="AA159" s="23"/>
      <c r="AB159" s="23"/>
      <c r="AC159" s="73"/>
      <c r="AD159" s="23"/>
      <c r="AE159" s="23"/>
      <c r="AF159" s="23"/>
      <c r="AG159" s="23"/>
      <c r="AH159" s="23"/>
      <c r="AI159" s="23"/>
      <c r="AJ159" s="73"/>
      <c r="AK159" s="23"/>
      <c r="AL159" s="23"/>
      <c r="AM159" s="23"/>
      <c r="AN159" s="23"/>
      <c r="AO159" s="73"/>
      <c r="AP159" s="23"/>
      <c r="AQ159" s="23"/>
      <c r="AR159" s="23"/>
      <c r="AS159" s="23"/>
      <c r="AT159" s="23"/>
      <c r="AU159" s="23"/>
      <c r="AV159" s="73"/>
      <c r="AW159" s="23"/>
      <c r="AX159" s="23"/>
      <c r="AY159" s="23"/>
      <c r="AZ159" s="23"/>
      <c r="BA159" s="73"/>
      <c r="BB159" s="23"/>
      <c r="BC159" s="23"/>
      <c r="BD159" s="23"/>
      <c r="BE159" s="23"/>
      <c r="BF159" s="23"/>
      <c r="BG159" s="23"/>
      <c r="BH159" s="73"/>
      <c r="BI159" s="23"/>
      <c r="BJ159" s="23"/>
      <c r="BK159" s="23"/>
      <c r="BL159" s="23"/>
      <c r="BM159" s="73"/>
    </row>
    <row r="160" spans="1:65" ht="15.75">
      <c r="A160" s="91"/>
      <c r="B160" s="225"/>
      <c r="C160" s="28"/>
      <c r="D160" s="28"/>
      <c r="E160" s="28"/>
      <c r="F160" s="28"/>
      <c r="G160" s="76"/>
      <c r="H160" s="28"/>
      <c r="I160" s="28"/>
      <c r="J160" s="28"/>
      <c r="K160" s="28"/>
      <c r="L160" s="76"/>
      <c r="M160" s="28"/>
      <c r="N160" s="28"/>
      <c r="O160" s="28"/>
      <c r="P160" s="28"/>
      <c r="Q160" s="76"/>
      <c r="R160" s="28"/>
      <c r="S160" s="28"/>
      <c r="T160" s="28"/>
      <c r="U160" s="28"/>
      <c r="V160" s="28"/>
      <c r="W160" s="28"/>
      <c r="X160" s="76"/>
      <c r="Y160" s="28"/>
      <c r="Z160" s="28"/>
      <c r="AA160" s="28"/>
      <c r="AB160" s="28"/>
      <c r="AC160" s="76"/>
      <c r="AD160" s="28"/>
      <c r="AE160" s="28"/>
      <c r="AF160" s="28"/>
      <c r="AG160" s="28"/>
      <c r="AH160" s="28"/>
      <c r="AI160" s="28"/>
      <c r="AJ160" s="76"/>
      <c r="AK160" s="28"/>
      <c r="AL160" s="28"/>
      <c r="AM160" s="28"/>
      <c r="AN160" s="28"/>
      <c r="AO160" s="76"/>
      <c r="AP160" s="28"/>
      <c r="AQ160" s="28"/>
      <c r="AR160" s="28"/>
      <c r="AS160" s="28"/>
      <c r="AT160" s="28"/>
      <c r="AU160" s="28"/>
      <c r="AV160" s="76"/>
      <c r="AW160" s="28"/>
      <c r="AX160" s="28"/>
      <c r="AY160" s="28"/>
      <c r="AZ160" s="28"/>
      <c r="BA160" s="76"/>
      <c r="BB160" s="28"/>
      <c r="BC160" s="28"/>
      <c r="BD160" s="28"/>
      <c r="BE160" s="28"/>
      <c r="BF160" s="28"/>
      <c r="BG160" s="28"/>
      <c r="BH160" s="76"/>
      <c r="BI160" s="28"/>
      <c r="BJ160" s="28"/>
      <c r="BK160" s="28"/>
      <c r="BL160" s="28"/>
      <c r="BM160" s="76"/>
    </row>
    <row r="161" spans="1:65" ht="15.75">
      <c r="A161" s="91"/>
      <c r="B161" s="225"/>
      <c r="C161" s="28"/>
      <c r="D161" s="28"/>
      <c r="E161" s="28"/>
      <c r="F161" s="28"/>
      <c r="G161" s="76"/>
      <c r="H161" s="28"/>
      <c r="I161" s="28"/>
      <c r="J161" s="28"/>
      <c r="K161" s="28"/>
      <c r="L161" s="76"/>
      <c r="M161" s="28"/>
      <c r="N161" s="28"/>
      <c r="O161" s="28"/>
      <c r="P161" s="28"/>
      <c r="Q161" s="76"/>
      <c r="R161" s="28"/>
      <c r="S161" s="28"/>
      <c r="T161" s="28"/>
      <c r="U161" s="28"/>
      <c r="V161" s="28"/>
      <c r="W161" s="28"/>
      <c r="X161" s="76"/>
      <c r="Y161" s="28"/>
      <c r="Z161" s="28"/>
      <c r="AA161" s="28"/>
      <c r="AB161" s="28"/>
      <c r="AC161" s="76"/>
      <c r="AD161" s="28"/>
      <c r="AE161" s="28"/>
      <c r="AF161" s="28"/>
      <c r="AG161" s="28"/>
      <c r="AH161" s="28"/>
      <c r="AI161" s="28"/>
      <c r="AJ161" s="76"/>
      <c r="AK161" s="28"/>
      <c r="AL161" s="28"/>
      <c r="AM161" s="28"/>
      <c r="AN161" s="28"/>
      <c r="AO161" s="76"/>
      <c r="AP161" s="28"/>
      <c r="AQ161" s="28"/>
      <c r="AR161" s="28"/>
      <c r="AS161" s="28"/>
      <c r="AT161" s="28"/>
      <c r="AU161" s="28"/>
      <c r="AV161" s="76"/>
      <c r="AW161" s="28"/>
      <c r="AX161" s="28"/>
      <c r="AY161" s="28"/>
      <c r="AZ161" s="28"/>
      <c r="BA161" s="76"/>
      <c r="BB161" s="28"/>
      <c r="BC161" s="28"/>
      <c r="BD161" s="28"/>
      <c r="BE161" s="28"/>
      <c r="BF161" s="28"/>
      <c r="BG161" s="28"/>
      <c r="BH161" s="76"/>
      <c r="BI161" s="28"/>
      <c r="BJ161" s="28"/>
      <c r="BK161" s="28"/>
      <c r="BL161" s="28"/>
      <c r="BM161" s="76"/>
    </row>
    <row r="162" spans="1:65" ht="15.75">
      <c r="A162" s="91"/>
      <c r="B162" s="225"/>
      <c r="C162" s="28"/>
      <c r="D162" s="28"/>
      <c r="E162" s="28"/>
      <c r="F162" s="28"/>
      <c r="G162" s="76"/>
      <c r="H162" s="28"/>
      <c r="I162" s="28"/>
      <c r="J162" s="28"/>
      <c r="K162" s="28"/>
      <c r="L162" s="76"/>
      <c r="M162" s="28"/>
      <c r="N162" s="28"/>
      <c r="O162" s="28"/>
      <c r="P162" s="28"/>
      <c r="Q162" s="76"/>
      <c r="R162" s="28"/>
      <c r="S162" s="28"/>
      <c r="T162" s="28"/>
      <c r="U162" s="28"/>
      <c r="V162" s="28"/>
      <c r="W162" s="28"/>
      <c r="X162" s="76"/>
      <c r="Y162" s="28"/>
      <c r="Z162" s="28"/>
      <c r="AA162" s="28"/>
      <c r="AB162" s="28"/>
      <c r="AC162" s="76"/>
      <c r="AD162" s="28"/>
      <c r="AE162" s="28"/>
      <c r="AF162" s="28"/>
      <c r="AG162" s="28"/>
      <c r="AH162" s="28"/>
      <c r="AI162" s="28"/>
      <c r="AJ162" s="76"/>
      <c r="AK162" s="28"/>
      <c r="AL162" s="28"/>
      <c r="AM162" s="28"/>
      <c r="AN162" s="28"/>
      <c r="AO162" s="76"/>
      <c r="AP162" s="28"/>
      <c r="AQ162" s="28"/>
      <c r="AR162" s="28"/>
      <c r="AS162" s="28"/>
      <c r="AT162" s="28"/>
      <c r="AU162" s="28"/>
      <c r="AV162" s="76"/>
      <c r="AW162" s="28"/>
      <c r="AX162" s="28"/>
      <c r="AY162" s="28"/>
      <c r="AZ162" s="28"/>
      <c r="BA162" s="76"/>
      <c r="BB162" s="28"/>
      <c r="BC162" s="28"/>
      <c r="BD162" s="28"/>
      <c r="BE162" s="28"/>
      <c r="BF162" s="28"/>
      <c r="BG162" s="28"/>
      <c r="BH162" s="76"/>
      <c r="BI162" s="28"/>
      <c r="BJ162" s="28"/>
      <c r="BK162" s="28"/>
      <c r="BL162" s="28"/>
      <c r="BM162" s="76"/>
    </row>
    <row r="163" spans="1:65" ht="15.75">
      <c r="A163" s="91"/>
      <c r="B163" s="78"/>
      <c r="C163" s="23"/>
      <c r="D163" s="23"/>
      <c r="E163" s="23"/>
      <c r="F163" s="23"/>
      <c r="G163" s="73"/>
      <c r="H163" s="23"/>
      <c r="I163" s="23"/>
      <c r="J163" s="23"/>
      <c r="K163" s="23"/>
      <c r="L163" s="73"/>
      <c r="M163" s="23"/>
      <c r="N163" s="23"/>
      <c r="O163" s="23"/>
      <c r="P163" s="23"/>
      <c r="Q163" s="73"/>
      <c r="R163" s="23"/>
      <c r="S163" s="23"/>
      <c r="T163" s="23"/>
      <c r="U163" s="23"/>
      <c r="V163" s="23"/>
      <c r="W163" s="23"/>
      <c r="X163" s="73"/>
      <c r="Y163" s="23"/>
      <c r="Z163" s="23"/>
      <c r="AA163" s="23"/>
      <c r="AB163" s="23"/>
      <c r="AC163" s="73"/>
      <c r="AD163" s="23"/>
      <c r="AE163" s="23"/>
      <c r="AF163" s="23"/>
      <c r="AG163" s="23"/>
      <c r="AH163" s="23"/>
      <c r="AI163" s="23"/>
      <c r="AJ163" s="73"/>
      <c r="AK163" s="23"/>
      <c r="AL163" s="23"/>
      <c r="AM163" s="23"/>
      <c r="AN163" s="23"/>
      <c r="AO163" s="73"/>
      <c r="AP163" s="23"/>
      <c r="AQ163" s="23"/>
      <c r="AR163" s="23"/>
      <c r="AS163" s="23"/>
      <c r="AT163" s="23"/>
      <c r="AU163" s="23"/>
      <c r="AV163" s="73"/>
      <c r="AW163" s="23"/>
      <c r="AX163" s="23"/>
      <c r="AY163" s="23"/>
      <c r="AZ163" s="23"/>
      <c r="BA163" s="73"/>
      <c r="BB163" s="23"/>
      <c r="BC163" s="23"/>
      <c r="BD163" s="23"/>
      <c r="BE163" s="23"/>
      <c r="BF163" s="23"/>
      <c r="BG163" s="23"/>
      <c r="BH163" s="73"/>
      <c r="BI163" s="23"/>
      <c r="BJ163" s="23"/>
      <c r="BK163" s="23"/>
      <c r="BL163" s="23"/>
      <c r="BM163" s="73"/>
    </row>
    <row r="164" spans="1:65" ht="15.75">
      <c r="A164" s="91"/>
      <c r="B164" s="223"/>
      <c r="C164" s="23"/>
      <c r="D164" s="23"/>
      <c r="E164" s="23"/>
      <c r="F164" s="23"/>
      <c r="G164" s="73"/>
      <c r="H164" s="23"/>
      <c r="I164" s="23"/>
      <c r="J164" s="23"/>
      <c r="K164" s="23"/>
      <c r="L164" s="73"/>
      <c r="M164" s="23"/>
      <c r="N164" s="23"/>
      <c r="O164" s="23"/>
      <c r="P164" s="23"/>
      <c r="Q164" s="73"/>
      <c r="R164" s="23"/>
      <c r="S164" s="23"/>
      <c r="T164" s="23"/>
      <c r="U164" s="23"/>
      <c r="V164" s="23"/>
      <c r="W164" s="23"/>
      <c r="X164" s="73"/>
      <c r="Y164" s="23"/>
      <c r="Z164" s="23"/>
      <c r="AA164" s="23"/>
      <c r="AB164" s="23"/>
      <c r="AC164" s="73"/>
      <c r="AD164" s="23"/>
      <c r="AE164" s="23"/>
      <c r="AF164" s="23"/>
      <c r="AG164" s="23"/>
      <c r="AH164" s="23"/>
      <c r="AI164" s="23"/>
      <c r="AJ164" s="73"/>
      <c r="AK164" s="23"/>
      <c r="AL164" s="23"/>
      <c r="AM164" s="23"/>
      <c r="AN164" s="23"/>
      <c r="AO164" s="73"/>
      <c r="AP164" s="23"/>
      <c r="AQ164" s="23"/>
      <c r="AR164" s="23"/>
      <c r="AS164" s="23"/>
      <c r="AT164" s="23"/>
      <c r="AU164" s="23"/>
      <c r="AV164" s="73"/>
      <c r="AW164" s="23"/>
      <c r="AX164" s="23"/>
      <c r="AY164" s="23"/>
      <c r="AZ164" s="23"/>
      <c r="BA164" s="73"/>
      <c r="BB164" s="23"/>
      <c r="BC164" s="23"/>
      <c r="BD164" s="23"/>
      <c r="BE164" s="23"/>
      <c r="BF164" s="23"/>
      <c r="BG164" s="23"/>
      <c r="BH164" s="73"/>
      <c r="BI164" s="23"/>
      <c r="BJ164" s="23"/>
      <c r="BK164" s="23"/>
      <c r="BL164" s="23"/>
      <c r="BM164" s="73"/>
    </row>
    <row r="165" spans="2:65" ht="15.75">
      <c r="B165" s="225"/>
      <c r="C165" s="28"/>
      <c r="D165" s="28"/>
      <c r="E165" s="28"/>
      <c r="F165" s="28"/>
      <c r="G165" s="76"/>
      <c r="H165" s="28"/>
      <c r="I165" s="28"/>
      <c r="J165" s="28"/>
      <c r="K165" s="28"/>
      <c r="L165" s="76"/>
      <c r="M165" s="28"/>
      <c r="N165" s="28"/>
      <c r="O165" s="28"/>
      <c r="P165" s="28"/>
      <c r="Q165" s="76"/>
      <c r="R165" s="28"/>
      <c r="S165" s="28"/>
      <c r="T165" s="28"/>
      <c r="U165" s="28"/>
      <c r="V165" s="28"/>
      <c r="W165" s="28"/>
      <c r="X165" s="76"/>
      <c r="Y165" s="28"/>
      <c r="Z165" s="28"/>
      <c r="AA165" s="28"/>
      <c r="AB165" s="28"/>
      <c r="AC165" s="76"/>
      <c r="AD165" s="28"/>
      <c r="AE165" s="28"/>
      <c r="AF165" s="28"/>
      <c r="AG165" s="28"/>
      <c r="AH165" s="28"/>
      <c r="AI165" s="28"/>
      <c r="AJ165" s="76"/>
      <c r="AK165" s="28"/>
      <c r="AL165" s="28"/>
      <c r="AM165" s="28"/>
      <c r="AN165" s="28"/>
      <c r="AO165" s="76"/>
      <c r="AP165" s="28"/>
      <c r="AQ165" s="28"/>
      <c r="AR165" s="28"/>
      <c r="AS165" s="28"/>
      <c r="AT165" s="28"/>
      <c r="AU165" s="28"/>
      <c r="AV165" s="76"/>
      <c r="AW165" s="28"/>
      <c r="AX165" s="28"/>
      <c r="AY165" s="28"/>
      <c r="AZ165" s="28"/>
      <c r="BA165" s="76"/>
      <c r="BB165" s="28"/>
      <c r="BC165" s="28"/>
      <c r="BD165" s="28"/>
      <c r="BE165" s="28"/>
      <c r="BF165" s="28"/>
      <c r="BG165" s="28"/>
      <c r="BH165" s="76"/>
      <c r="BI165" s="28"/>
      <c r="BJ165" s="28"/>
      <c r="BK165" s="28"/>
      <c r="BL165" s="28"/>
      <c r="BM165" s="76"/>
    </row>
    <row r="166" spans="2:65" ht="15.75">
      <c r="B166" s="225"/>
      <c r="C166" s="28"/>
      <c r="D166" s="28"/>
      <c r="E166" s="28"/>
      <c r="F166" s="28"/>
      <c r="G166" s="76"/>
      <c r="H166" s="28"/>
      <c r="I166" s="28"/>
      <c r="J166" s="28"/>
      <c r="K166" s="28"/>
      <c r="L166" s="76"/>
      <c r="M166" s="28"/>
      <c r="N166" s="28"/>
      <c r="O166" s="28"/>
      <c r="P166" s="28"/>
      <c r="Q166" s="76"/>
      <c r="R166" s="28"/>
      <c r="S166" s="28"/>
      <c r="T166" s="28"/>
      <c r="U166" s="28"/>
      <c r="V166" s="28"/>
      <c r="W166" s="28"/>
      <c r="X166" s="76"/>
      <c r="Y166" s="28"/>
      <c r="Z166" s="28"/>
      <c r="AA166" s="28"/>
      <c r="AB166" s="28"/>
      <c r="AC166" s="76"/>
      <c r="AD166" s="28"/>
      <c r="AE166" s="28"/>
      <c r="AF166" s="28"/>
      <c r="AG166" s="28"/>
      <c r="AH166" s="28"/>
      <c r="AI166" s="28"/>
      <c r="AJ166" s="76"/>
      <c r="AK166" s="28"/>
      <c r="AL166" s="28"/>
      <c r="AM166" s="28"/>
      <c r="AN166" s="28"/>
      <c r="AO166" s="76"/>
      <c r="AP166" s="28"/>
      <c r="AQ166" s="28"/>
      <c r="AR166" s="28"/>
      <c r="AS166" s="28"/>
      <c r="AT166" s="28"/>
      <c r="AU166" s="28"/>
      <c r="AV166" s="76"/>
      <c r="AW166" s="28"/>
      <c r="AX166" s="28"/>
      <c r="AY166" s="28"/>
      <c r="AZ166" s="28"/>
      <c r="BA166" s="76"/>
      <c r="BB166" s="28"/>
      <c r="BC166" s="28"/>
      <c r="BD166" s="28"/>
      <c r="BE166" s="28"/>
      <c r="BF166" s="28"/>
      <c r="BG166" s="28"/>
      <c r="BH166" s="76"/>
      <c r="BI166" s="28"/>
      <c r="BJ166" s="28"/>
      <c r="BK166" s="28"/>
      <c r="BL166" s="28"/>
      <c r="BM166" s="76"/>
    </row>
    <row r="167" spans="2:65" ht="15.75">
      <c r="B167" s="225"/>
      <c r="C167" s="28"/>
      <c r="D167" s="28"/>
      <c r="E167" s="28"/>
      <c r="F167" s="28"/>
      <c r="G167" s="76"/>
      <c r="H167" s="28"/>
      <c r="I167" s="28"/>
      <c r="J167" s="28"/>
      <c r="K167" s="28"/>
      <c r="L167" s="76"/>
      <c r="M167" s="28"/>
      <c r="N167" s="28"/>
      <c r="O167" s="28"/>
      <c r="P167" s="28"/>
      <c r="Q167" s="76"/>
      <c r="R167" s="28"/>
      <c r="S167" s="28"/>
      <c r="T167" s="28"/>
      <c r="U167" s="28"/>
      <c r="V167" s="28"/>
      <c r="W167" s="28"/>
      <c r="X167" s="76"/>
      <c r="Y167" s="28"/>
      <c r="Z167" s="28"/>
      <c r="AA167" s="28"/>
      <c r="AB167" s="28"/>
      <c r="AC167" s="76"/>
      <c r="AD167" s="28"/>
      <c r="AE167" s="28"/>
      <c r="AF167" s="28"/>
      <c r="AG167" s="28"/>
      <c r="AH167" s="28"/>
      <c r="AI167" s="28"/>
      <c r="AJ167" s="76"/>
      <c r="AK167" s="28"/>
      <c r="AL167" s="28"/>
      <c r="AM167" s="28"/>
      <c r="AN167" s="28"/>
      <c r="AO167" s="76"/>
      <c r="AP167" s="28"/>
      <c r="AQ167" s="28"/>
      <c r="AR167" s="28"/>
      <c r="AS167" s="28"/>
      <c r="AT167" s="28"/>
      <c r="AU167" s="28"/>
      <c r="AV167" s="76"/>
      <c r="AW167" s="28"/>
      <c r="AX167" s="28"/>
      <c r="AY167" s="28"/>
      <c r="AZ167" s="28"/>
      <c r="BA167" s="76"/>
      <c r="BB167" s="28"/>
      <c r="BC167" s="28"/>
      <c r="BD167" s="28"/>
      <c r="BE167" s="28"/>
      <c r="BF167" s="28"/>
      <c r="BG167" s="28"/>
      <c r="BH167" s="76"/>
      <c r="BI167" s="28"/>
      <c r="BJ167" s="28"/>
      <c r="BK167" s="28"/>
      <c r="BL167" s="28"/>
      <c r="BM167" s="76"/>
    </row>
    <row r="168" spans="2:65" ht="15.75">
      <c r="B168" s="223"/>
      <c r="C168" s="23"/>
      <c r="D168" s="23"/>
      <c r="E168" s="23"/>
      <c r="F168" s="23"/>
      <c r="G168" s="73"/>
      <c r="H168" s="23"/>
      <c r="I168" s="23"/>
      <c r="J168" s="23"/>
      <c r="K168" s="23"/>
      <c r="L168" s="73"/>
      <c r="M168" s="23"/>
      <c r="N168" s="23"/>
      <c r="O168" s="23"/>
      <c r="P168" s="23"/>
      <c r="Q168" s="73"/>
      <c r="R168" s="23"/>
      <c r="S168" s="23"/>
      <c r="T168" s="23"/>
      <c r="U168" s="23"/>
      <c r="V168" s="23"/>
      <c r="W168" s="23"/>
      <c r="X168" s="73"/>
      <c r="Y168" s="23"/>
      <c r="Z168" s="23"/>
      <c r="AA168" s="23"/>
      <c r="AB168" s="23"/>
      <c r="AC168" s="73"/>
      <c r="AD168" s="23"/>
      <c r="AE168" s="23"/>
      <c r="AF168" s="23"/>
      <c r="AG168" s="23"/>
      <c r="AH168" s="23"/>
      <c r="AI168" s="23"/>
      <c r="AJ168" s="73"/>
      <c r="AK168" s="23"/>
      <c r="AL168" s="23"/>
      <c r="AM168" s="23"/>
      <c r="AN168" s="23"/>
      <c r="AO168" s="73"/>
      <c r="AP168" s="23"/>
      <c r="AQ168" s="23"/>
      <c r="AR168" s="23"/>
      <c r="AS168" s="23"/>
      <c r="AT168" s="23"/>
      <c r="AU168" s="23"/>
      <c r="AV168" s="73"/>
      <c r="AW168" s="23"/>
      <c r="AX168" s="23"/>
      <c r="AY168" s="23"/>
      <c r="AZ168" s="23"/>
      <c r="BA168" s="73"/>
      <c r="BB168" s="23"/>
      <c r="BC168" s="23"/>
      <c r="BD168" s="23"/>
      <c r="BE168" s="23"/>
      <c r="BF168" s="23"/>
      <c r="BG168" s="23"/>
      <c r="BH168" s="73"/>
      <c r="BI168" s="23"/>
      <c r="BJ168" s="23"/>
      <c r="BK168" s="23"/>
      <c r="BL168" s="23"/>
      <c r="BM168" s="73"/>
    </row>
    <row r="169" spans="2:65" ht="15.75">
      <c r="B169" s="225"/>
      <c r="C169" s="226"/>
      <c r="D169" s="133"/>
      <c r="E169" s="28"/>
      <c r="F169" s="28"/>
      <c r="G169" s="76"/>
      <c r="H169" s="28"/>
      <c r="I169" s="28"/>
      <c r="J169" s="28"/>
      <c r="K169" s="28"/>
      <c r="L169" s="76"/>
      <c r="M169" s="28"/>
      <c r="N169" s="28"/>
      <c r="O169" s="28"/>
      <c r="P169" s="28"/>
      <c r="Q169" s="76"/>
      <c r="R169" s="28"/>
      <c r="S169" s="28"/>
      <c r="T169" s="28"/>
      <c r="U169" s="28"/>
      <c r="V169" s="28"/>
      <c r="W169" s="28"/>
      <c r="X169" s="76"/>
      <c r="Y169" s="28"/>
      <c r="Z169" s="28"/>
      <c r="AA169" s="28"/>
      <c r="AB169" s="28"/>
      <c r="AC169" s="76"/>
      <c r="AD169" s="28"/>
      <c r="AE169" s="28"/>
      <c r="AF169" s="28"/>
      <c r="AG169" s="28"/>
      <c r="AH169" s="28"/>
      <c r="AI169" s="28"/>
      <c r="AJ169" s="76"/>
      <c r="AK169" s="28"/>
      <c r="AL169" s="28"/>
      <c r="AM169" s="28"/>
      <c r="AN169" s="28"/>
      <c r="AO169" s="76"/>
      <c r="AP169" s="28"/>
      <c r="AQ169" s="28"/>
      <c r="AR169" s="28"/>
      <c r="AS169" s="28"/>
      <c r="AT169" s="28"/>
      <c r="AU169" s="28"/>
      <c r="AV169" s="76"/>
      <c r="AW169" s="28"/>
      <c r="AX169" s="28"/>
      <c r="AY169" s="28"/>
      <c r="AZ169" s="28"/>
      <c r="BA169" s="76"/>
      <c r="BB169" s="28"/>
      <c r="BC169" s="28"/>
      <c r="BD169" s="28"/>
      <c r="BE169" s="28"/>
      <c r="BF169" s="28"/>
      <c r="BG169" s="28"/>
      <c r="BH169" s="76"/>
      <c r="BI169" s="28"/>
      <c r="BJ169" s="28"/>
      <c r="BK169" s="28"/>
      <c r="BL169" s="28"/>
      <c r="BM169" s="76"/>
    </row>
    <row r="170" spans="2:65" ht="15.75">
      <c r="B170" s="225"/>
      <c r="C170" s="28"/>
      <c r="D170" s="28"/>
      <c r="E170" s="28"/>
      <c r="F170" s="28"/>
      <c r="G170" s="205"/>
      <c r="H170" s="28"/>
      <c r="I170" s="28"/>
      <c r="J170" s="28"/>
      <c r="K170" s="28"/>
      <c r="L170" s="205"/>
      <c r="M170" s="28"/>
      <c r="N170" s="28"/>
      <c r="O170" s="28"/>
      <c r="P170" s="28"/>
      <c r="Q170" s="205"/>
      <c r="R170" s="28"/>
      <c r="S170" s="28"/>
      <c r="T170" s="28"/>
      <c r="U170" s="28"/>
      <c r="V170" s="28"/>
      <c r="W170" s="28"/>
      <c r="X170" s="205"/>
      <c r="Y170" s="28"/>
      <c r="Z170" s="28"/>
      <c r="AA170" s="28"/>
      <c r="AB170" s="28"/>
      <c r="AC170" s="205"/>
      <c r="AD170" s="28"/>
      <c r="AE170" s="28"/>
      <c r="AF170" s="28"/>
      <c r="AG170" s="28"/>
      <c r="AH170" s="28"/>
      <c r="AI170" s="28"/>
      <c r="AJ170" s="205"/>
      <c r="AK170" s="28"/>
      <c r="AL170" s="28"/>
      <c r="AM170" s="28"/>
      <c r="AN170" s="28"/>
      <c r="AO170" s="205"/>
      <c r="AP170" s="28"/>
      <c r="AQ170" s="28"/>
      <c r="AR170" s="28"/>
      <c r="AS170" s="28"/>
      <c r="AT170" s="28"/>
      <c r="AU170" s="28"/>
      <c r="AV170" s="205"/>
      <c r="AW170" s="28"/>
      <c r="AX170" s="28"/>
      <c r="AY170" s="28"/>
      <c r="AZ170" s="28"/>
      <c r="BA170" s="205"/>
      <c r="BB170" s="28"/>
      <c r="BC170" s="28"/>
      <c r="BD170" s="28"/>
      <c r="BE170" s="28"/>
      <c r="BF170" s="28"/>
      <c r="BG170" s="28"/>
      <c r="BH170" s="205"/>
      <c r="BI170" s="28"/>
      <c r="BJ170" s="28"/>
      <c r="BK170" s="28"/>
      <c r="BL170" s="28"/>
      <c r="BM170" s="205"/>
    </row>
    <row r="171" spans="2:65" ht="15.75">
      <c r="B171" s="225"/>
      <c r="C171" s="28"/>
      <c r="D171" s="28"/>
      <c r="E171" s="28"/>
      <c r="F171" s="28"/>
      <c r="G171" s="76"/>
      <c r="H171" s="28"/>
      <c r="I171" s="28"/>
      <c r="J171" s="28"/>
      <c r="K171" s="28"/>
      <c r="L171" s="76"/>
      <c r="M171" s="28"/>
      <c r="N171" s="28"/>
      <c r="O171" s="28"/>
      <c r="P171" s="28"/>
      <c r="Q171" s="76"/>
      <c r="R171" s="28"/>
      <c r="S171" s="28"/>
      <c r="T171" s="28"/>
      <c r="U171" s="28"/>
      <c r="V171" s="28"/>
      <c r="W171" s="28"/>
      <c r="X171" s="76"/>
      <c r="Y171" s="28"/>
      <c r="Z171" s="28"/>
      <c r="AA171" s="28"/>
      <c r="AB171" s="28"/>
      <c r="AC171" s="76"/>
      <c r="AD171" s="28"/>
      <c r="AE171" s="28"/>
      <c r="AF171" s="28"/>
      <c r="AG171" s="28"/>
      <c r="AH171" s="28"/>
      <c r="AI171" s="28"/>
      <c r="AJ171" s="76"/>
      <c r="AK171" s="28"/>
      <c r="AL171" s="28"/>
      <c r="AM171" s="28"/>
      <c r="AN171" s="28"/>
      <c r="AO171" s="76"/>
      <c r="AP171" s="28"/>
      <c r="AQ171" s="28"/>
      <c r="AR171" s="28"/>
      <c r="AS171" s="28"/>
      <c r="AT171" s="28"/>
      <c r="AU171" s="28"/>
      <c r="AV171" s="76"/>
      <c r="AW171" s="28"/>
      <c r="AX171" s="28"/>
      <c r="AY171" s="28"/>
      <c r="AZ171" s="28"/>
      <c r="BA171" s="76"/>
      <c r="BB171" s="28"/>
      <c r="BC171" s="28"/>
      <c r="BD171" s="28"/>
      <c r="BE171" s="28"/>
      <c r="BF171" s="28"/>
      <c r="BG171" s="28"/>
      <c r="BH171" s="76"/>
      <c r="BI171" s="28"/>
      <c r="BJ171" s="28"/>
      <c r="BK171" s="28"/>
      <c r="BL171" s="28"/>
      <c r="BM171" s="76"/>
    </row>
    <row r="172" spans="2:65" ht="15.75">
      <c r="B172" s="225"/>
      <c r="C172" s="28"/>
      <c r="D172" s="28"/>
      <c r="E172" s="28"/>
      <c r="F172" s="28"/>
      <c r="G172" s="76"/>
      <c r="H172" s="28"/>
      <c r="I172" s="28"/>
      <c r="J172" s="28"/>
      <c r="K172" s="28"/>
      <c r="L172" s="76"/>
      <c r="M172" s="28"/>
      <c r="N172" s="28"/>
      <c r="O172" s="28"/>
      <c r="P172" s="28"/>
      <c r="Q172" s="76"/>
      <c r="R172" s="28"/>
      <c r="S172" s="28"/>
      <c r="T172" s="28"/>
      <c r="U172" s="28"/>
      <c r="V172" s="28"/>
      <c r="W172" s="28"/>
      <c r="X172" s="76"/>
      <c r="Y172" s="28"/>
      <c r="Z172" s="28"/>
      <c r="AA172" s="28"/>
      <c r="AB172" s="28"/>
      <c r="AC172" s="76"/>
      <c r="AD172" s="28"/>
      <c r="AE172" s="28"/>
      <c r="AF172" s="28"/>
      <c r="AG172" s="28"/>
      <c r="AH172" s="28"/>
      <c r="AI172" s="28"/>
      <c r="AJ172" s="76"/>
      <c r="AK172" s="28"/>
      <c r="AL172" s="28"/>
      <c r="AM172" s="28"/>
      <c r="AN172" s="28"/>
      <c r="AO172" s="76"/>
      <c r="AP172" s="28"/>
      <c r="AQ172" s="28"/>
      <c r="AR172" s="28"/>
      <c r="AS172" s="28"/>
      <c r="AT172" s="28"/>
      <c r="AU172" s="28"/>
      <c r="AV172" s="76"/>
      <c r="AW172" s="28"/>
      <c r="AX172" s="28"/>
      <c r="AY172" s="28"/>
      <c r="AZ172" s="28"/>
      <c r="BA172" s="76"/>
      <c r="BB172" s="28"/>
      <c r="BC172" s="28"/>
      <c r="BD172" s="28"/>
      <c r="BE172" s="28"/>
      <c r="BF172" s="28"/>
      <c r="BG172" s="28"/>
      <c r="BH172" s="76"/>
      <c r="BI172" s="28"/>
      <c r="BJ172" s="28"/>
      <c r="BK172" s="28"/>
      <c r="BL172" s="28"/>
      <c r="BM172" s="76"/>
    </row>
    <row r="173" spans="2:65" ht="15.75">
      <c r="B173" s="225"/>
      <c r="C173" s="133"/>
      <c r="D173" s="28"/>
      <c r="E173" s="28"/>
      <c r="F173" s="28"/>
      <c r="G173" s="76"/>
      <c r="H173" s="133"/>
      <c r="I173" s="28"/>
      <c r="J173" s="28"/>
      <c r="K173" s="28"/>
      <c r="L173" s="76"/>
      <c r="M173" s="28"/>
      <c r="N173" s="28"/>
      <c r="O173" s="28"/>
      <c r="P173" s="28"/>
      <c r="Q173" s="76"/>
      <c r="R173" s="28"/>
      <c r="S173" s="28"/>
      <c r="T173" s="28"/>
      <c r="U173" s="28"/>
      <c r="V173" s="28"/>
      <c r="W173" s="28"/>
      <c r="X173" s="76"/>
      <c r="Y173" s="28"/>
      <c r="Z173" s="28"/>
      <c r="AA173" s="28"/>
      <c r="AB173" s="28"/>
      <c r="AC173" s="76"/>
      <c r="AD173" s="28"/>
      <c r="AE173" s="28"/>
      <c r="AF173" s="28"/>
      <c r="AG173" s="28"/>
      <c r="AH173" s="28"/>
      <c r="AI173" s="28"/>
      <c r="AJ173" s="76"/>
      <c r="AK173" s="28"/>
      <c r="AL173" s="28"/>
      <c r="AM173" s="28"/>
      <c r="AN173" s="28"/>
      <c r="AO173" s="76"/>
      <c r="AP173" s="28"/>
      <c r="AQ173" s="28"/>
      <c r="AR173" s="28"/>
      <c r="AS173" s="28"/>
      <c r="AT173" s="28"/>
      <c r="AU173" s="28"/>
      <c r="AV173" s="76"/>
      <c r="AW173" s="28"/>
      <c r="AX173" s="28"/>
      <c r="AY173" s="28"/>
      <c r="AZ173" s="28"/>
      <c r="BA173" s="76"/>
      <c r="BB173" s="28"/>
      <c r="BC173" s="28"/>
      <c r="BD173" s="28"/>
      <c r="BE173" s="28"/>
      <c r="BF173" s="28"/>
      <c r="BG173" s="28"/>
      <c r="BH173" s="76"/>
      <c r="BI173" s="28"/>
      <c r="BJ173" s="28"/>
      <c r="BK173" s="28"/>
      <c r="BL173" s="28"/>
      <c r="BM173" s="76"/>
    </row>
    <row r="174" spans="2:65" ht="15.75">
      <c r="B174" s="78"/>
      <c r="C174" s="34"/>
      <c r="D174" s="34"/>
      <c r="E174" s="34"/>
      <c r="F174" s="34"/>
      <c r="G174" s="79"/>
      <c r="H174" s="34"/>
      <c r="I174" s="34"/>
      <c r="J174" s="34"/>
      <c r="K174" s="34"/>
      <c r="L174" s="79"/>
      <c r="M174" s="34"/>
      <c r="N174" s="34"/>
      <c r="O174" s="34"/>
      <c r="P174" s="34"/>
      <c r="Q174" s="79"/>
      <c r="R174" s="34"/>
      <c r="S174" s="34"/>
      <c r="T174" s="34"/>
      <c r="U174" s="34"/>
      <c r="V174" s="34"/>
      <c r="W174" s="34"/>
      <c r="X174" s="79"/>
      <c r="Y174" s="34"/>
      <c r="Z174" s="34"/>
      <c r="AA174" s="34"/>
      <c r="AB174" s="34"/>
      <c r="AC174" s="79"/>
      <c r="AD174" s="34"/>
      <c r="AE174" s="34"/>
      <c r="AF174" s="34"/>
      <c r="AG174" s="34"/>
      <c r="AH174" s="34"/>
      <c r="AI174" s="34"/>
      <c r="AJ174" s="79"/>
      <c r="AK174" s="34"/>
      <c r="AL174" s="34"/>
      <c r="AM174" s="34"/>
      <c r="AN174" s="34"/>
      <c r="AO174" s="79"/>
      <c r="AP174" s="34"/>
      <c r="AQ174" s="34"/>
      <c r="AR174" s="34"/>
      <c r="AS174" s="34"/>
      <c r="AT174" s="34"/>
      <c r="AU174" s="34"/>
      <c r="AV174" s="79"/>
      <c r="AW174" s="34"/>
      <c r="AX174" s="34"/>
      <c r="AY174" s="34"/>
      <c r="AZ174" s="34"/>
      <c r="BA174" s="79"/>
      <c r="BB174" s="34"/>
      <c r="BC174" s="34"/>
      <c r="BD174" s="34"/>
      <c r="BE174" s="34"/>
      <c r="BF174" s="34"/>
      <c r="BG174" s="34"/>
      <c r="BH174" s="79"/>
      <c r="BI174" s="34"/>
      <c r="BJ174" s="34"/>
      <c r="BK174" s="34"/>
      <c r="BL174" s="34"/>
      <c r="BM174" s="79"/>
    </row>
    <row r="175" spans="2:65" ht="15.75">
      <c r="B175" s="78"/>
      <c r="C175" s="34"/>
      <c r="D175" s="34"/>
      <c r="E175" s="34"/>
      <c r="F175" s="34"/>
      <c r="G175" s="79"/>
      <c r="H175" s="34"/>
      <c r="I175" s="34"/>
      <c r="J175" s="34"/>
      <c r="K175" s="34"/>
      <c r="L175" s="79"/>
      <c r="M175" s="34"/>
      <c r="N175" s="34"/>
      <c r="O175" s="34"/>
      <c r="P175" s="34"/>
      <c r="Q175" s="79"/>
      <c r="R175" s="34"/>
      <c r="S175" s="34"/>
      <c r="T175" s="34"/>
      <c r="U175" s="34"/>
      <c r="V175" s="34"/>
      <c r="W175" s="34"/>
      <c r="X175" s="79"/>
      <c r="Y175" s="34"/>
      <c r="Z175" s="34"/>
      <c r="AA175" s="34"/>
      <c r="AB175" s="34"/>
      <c r="AC175" s="79"/>
      <c r="AD175" s="34"/>
      <c r="AE175" s="34"/>
      <c r="AF175" s="34"/>
      <c r="AG175" s="34"/>
      <c r="AH175" s="34"/>
      <c r="AI175" s="34"/>
      <c r="AJ175" s="79"/>
      <c r="AK175" s="34"/>
      <c r="AL175" s="34"/>
      <c r="AM175" s="34"/>
      <c r="AN175" s="34"/>
      <c r="AO175" s="79"/>
      <c r="AP175" s="34"/>
      <c r="AQ175" s="34"/>
      <c r="AR175" s="34"/>
      <c r="AS175" s="34"/>
      <c r="AT175" s="34"/>
      <c r="AU175" s="34"/>
      <c r="AV175" s="79"/>
      <c r="AW175" s="34"/>
      <c r="AX175" s="34"/>
      <c r="AY175" s="34"/>
      <c r="AZ175" s="34"/>
      <c r="BA175" s="79"/>
      <c r="BB175" s="34"/>
      <c r="BC175" s="34"/>
      <c r="BD175" s="34"/>
      <c r="BE175" s="34"/>
      <c r="BF175" s="34"/>
      <c r="BG175" s="34"/>
      <c r="BH175" s="79"/>
      <c r="BI175" s="34"/>
      <c r="BJ175" s="34"/>
      <c r="BK175" s="34"/>
      <c r="BL175" s="34"/>
      <c r="BM175" s="79"/>
    </row>
    <row r="176" spans="2:65" ht="15.75">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row>
    <row r="177" spans="2:65" ht="15.75">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row>
    <row r="178" spans="2:65" ht="15.75">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row>
    <row r="179" spans="2:65" ht="15.75">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row>
    <row r="180" spans="2:65" ht="15.75">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row>
    <row r="181" spans="2:65" ht="15.75">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row>
    <row r="182" spans="2:65" ht="15.75">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row>
    <row r="183" spans="2:65" ht="15.75">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row>
    <row r="184" spans="2:65" ht="15.75">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row>
    <row r="185" spans="2:65" ht="15.75">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row>
    <row r="186" spans="2:65" ht="15.75">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row>
    <row r="187" spans="2:65" ht="15.75">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row>
    <row r="188" spans="2:65" ht="15.75">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c r="BM188" s="91"/>
    </row>
    <row r="189" spans="2:65" ht="15.75">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row>
    <row r="190" spans="2:65" ht="15.75">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row>
  </sheetData>
  <sheetProtection algorithmName="SHA-512" hashValue="sTnnzWrSjtdFgZ5EeZZOIlc2HSAm8Qpc9aBAS0tLqgkuE2Mr0DWIg6bwtv3YhEe2SRGfWtuVkmcU4ru5t10Fyw==" saltValue="1xjixfH1AHSpBClUXwLSuw==" spinCount="100000" sheet="1" objects="1" scenarios="1"/>
  <mergeCells count="51">
    <mergeCell ref="BB154:BD154"/>
    <mergeCell ref="BH154:BH155"/>
    <mergeCell ref="BI154:BL154"/>
    <mergeCell ref="BM154:BM155"/>
    <mergeCell ref="W8:AA8"/>
    <mergeCell ref="AY35:BJ36"/>
    <mergeCell ref="AY64:BJ65"/>
    <mergeCell ref="AY93:BJ94"/>
    <mergeCell ref="AY122:BJ123"/>
    <mergeCell ref="AM35:AX36"/>
    <mergeCell ref="AM64:AX65"/>
    <mergeCell ref="AM93:AX94"/>
    <mergeCell ref="AM122:AX123"/>
    <mergeCell ref="AP154:AR154"/>
    <mergeCell ref="AV154:AV155"/>
    <mergeCell ref="AW154:AZ154"/>
    <mergeCell ref="BA154:BA155"/>
    <mergeCell ref="AA35:AL36"/>
    <mergeCell ref="AA64:AL65"/>
    <mergeCell ref="AA93:AL94"/>
    <mergeCell ref="AA122:AL123"/>
    <mergeCell ref="AD154:AF154"/>
    <mergeCell ref="AJ154:AJ155"/>
    <mergeCell ref="AK154:AN154"/>
    <mergeCell ref="AO154:AO155"/>
    <mergeCell ref="Y154:AB154"/>
    <mergeCell ref="AC154:AC155"/>
    <mergeCell ref="O35:Z36"/>
    <mergeCell ref="O64:Z65"/>
    <mergeCell ref="O93:Z94"/>
    <mergeCell ref="O122:Z123"/>
    <mergeCell ref="B64:B66"/>
    <mergeCell ref="B93:B95"/>
    <mergeCell ref="B35:B37"/>
    <mergeCell ref="B122:B124"/>
    <mergeCell ref="X154:X155"/>
    <mergeCell ref="C8:G8"/>
    <mergeCell ref="H8:L8"/>
    <mergeCell ref="M8:Q8"/>
    <mergeCell ref="R8:V8"/>
    <mergeCell ref="Q154:Q155"/>
    <mergeCell ref="R154:T154"/>
    <mergeCell ref="C154:F154"/>
    <mergeCell ref="G154:G155"/>
    <mergeCell ref="H154:K154"/>
    <mergeCell ref="L154:L155"/>
    <mergeCell ref="M154:P154"/>
    <mergeCell ref="C93:N94"/>
    <mergeCell ref="C122:N123"/>
    <mergeCell ref="C35:N36"/>
    <mergeCell ref="C64:N6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S133"/>
  <sheetViews>
    <sheetView zoomScale="77" zoomScaleNormal="77" zoomScalePageLayoutView="133" workbookViewId="0" topLeftCell="A1">
      <selection activeCell="H63" sqref="H63"/>
    </sheetView>
  </sheetViews>
  <sheetFormatPr defaultColWidth="10.75390625" defaultRowHeight="15.75"/>
  <cols>
    <col min="1" max="1" width="10.75390625" style="99" customWidth="1"/>
    <col min="2" max="2" width="6.75390625" style="99" customWidth="1"/>
    <col min="3" max="3" width="48.25390625" style="99" customWidth="1"/>
    <col min="4" max="9" width="15.25390625" style="99" customWidth="1"/>
    <col min="10" max="11" width="5.25390625" style="99" customWidth="1"/>
    <col min="12" max="12" width="6.75390625" style="99" customWidth="1"/>
    <col min="13" max="13" width="51.75390625" style="99" bestFit="1" customWidth="1"/>
    <col min="14" max="19" width="15.25390625" style="99" customWidth="1"/>
    <col min="20" max="20" width="10.75390625" style="99" customWidth="1"/>
    <col min="21" max="21" width="13.00390625" style="99" bestFit="1" customWidth="1"/>
    <col min="22" max="16384" width="10.75390625" style="99" customWidth="1"/>
  </cols>
  <sheetData>
    <row r="1" ht="16.2" thickBot="1"/>
    <row r="2" spans="2:14" ht="40.95" customHeight="1" thickBot="1">
      <c r="B2" s="1634" t="s">
        <v>65</v>
      </c>
      <c r="C2" s="1635"/>
      <c r="D2" s="547"/>
      <c r="F2" s="145"/>
      <c r="G2" s="145"/>
      <c r="H2" s="145"/>
      <c r="I2" s="145"/>
      <c r="J2" s="145"/>
      <c r="K2" s="145"/>
      <c r="L2" s="145"/>
      <c r="M2" s="145"/>
      <c r="N2" s="145"/>
    </row>
    <row r="3" spans="6:14" ht="16.05" customHeight="1">
      <c r="F3" s="145"/>
      <c r="G3" s="145"/>
      <c r="H3" s="145"/>
      <c r="I3" s="145"/>
      <c r="J3" s="145"/>
      <c r="K3" s="145"/>
      <c r="L3" s="145"/>
      <c r="M3" s="145"/>
      <c r="N3" s="145"/>
    </row>
    <row r="4" spans="6:14" ht="16.05" customHeight="1">
      <c r="F4" s="145"/>
      <c r="G4" s="145"/>
      <c r="H4" s="145"/>
      <c r="I4" s="145"/>
      <c r="J4" s="145"/>
      <c r="K4" s="145"/>
      <c r="L4" s="145"/>
      <c r="M4" s="145"/>
      <c r="N4" s="145"/>
    </row>
    <row r="5" spans="6:14" ht="16.05" customHeight="1">
      <c r="F5" s="145"/>
      <c r="G5" s="145"/>
      <c r="H5" s="145"/>
      <c r="I5" s="145"/>
      <c r="J5" s="145"/>
      <c r="K5" s="145"/>
      <c r="L5" s="145"/>
      <c r="M5" s="145"/>
      <c r="N5" s="145"/>
    </row>
    <row r="6" spans="6:14" ht="16.95" customHeight="1" thickBot="1">
      <c r="F6" s="145"/>
      <c r="G6" s="145"/>
      <c r="H6" s="145"/>
      <c r="I6" s="145"/>
      <c r="J6" s="145"/>
      <c r="K6" s="145"/>
      <c r="L6" s="145"/>
      <c r="M6" s="145"/>
      <c r="N6" s="145"/>
    </row>
    <row r="7" spans="2:19" ht="15.75">
      <c r="B7" s="146"/>
      <c r="C7" s="1637" t="s">
        <v>66</v>
      </c>
      <c r="D7" s="1638"/>
      <c r="E7" s="1638"/>
      <c r="F7" s="1638"/>
      <c r="G7" s="1638"/>
      <c r="H7" s="1638"/>
      <c r="I7" s="1639"/>
      <c r="L7" s="146"/>
      <c r="M7" s="1637" t="s">
        <v>67</v>
      </c>
      <c r="N7" s="1638"/>
      <c r="O7" s="1638"/>
      <c r="P7" s="1638"/>
      <c r="Q7" s="1638"/>
      <c r="R7" s="1638"/>
      <c r="S7" s="1639"/>
    </row>
    <row r="8" spans="2:19" ht="19.95" customHeight="1" thickBot="1">
      <c r="B8" s="147"/>
      <c r="C8" s="1640"/>
      <c r="D8" s="1641"/>
      <c r="E8" s="1641"/>
      <c r="F8" s="1641"/>
      <c r="G8" s="1641"/>
      <c r="H8" s="1641"/>
      <c r="I8" s="1642"/>
      <c r="L8" s="147"/>
      <c r="M8" s="1640"/>
      <c r="N8" s="1641"/>
      <c r="O8" s="1641"/>
      <c r="P8" s="1641"/>
      <c r="Q8" s="1641"/>
      <c r="R8" s="1641"/>
      <c r="S8" s="1642"/>
    </row>
    <row r="9" spans="2:19" s="151" customFormat="1" ht="16.2" thickBot="1">
      <c r="B9" s="148"/>
      <c r="C9" s="213"/>
      <c r="D9" s="149">
        <f aca="true" t="shared" si="0" ref="D9">1+E9</f>
        <v>2024</v>
      </c>
      <c r="E9" s="149">
        <f>1+F9</f>
        <v>2023</v>
      </c>
      <c r="F9" s="149">
        <f>1+G9</f>
        <v>2022</v>
      </c>
      <c r="G9" s="149">
        <f>1+H9</f>
        <v>2021</v>
      </c>
      <c r="H9" s="149">
        <f>1+Assumptions!C3</f>
        <v>2020</v>
      </c>
      <c r="I9" s="150">
        <f>+Assumptions!C3</f>
        <v>2019</v>
      </c>
      <c r="L9" s="148"/>
      <c r="M9" s="644"/>
      <c r="N9" s="149">
        <f aca="true" t="shared" si="1" ref="N9:S9">+D9</f>
        <v>2024</v>
      </c>
      <c r="O9" s="149">
        <f t="shared" si="1"/>
        <v>2023</v>
      </c>
      <c r="P9" s="149">
        <f t="shared" si="1"/>
        <v>2022</v>
      </c>
      <c r="Q9" s="149">
        <f t="shared" si="1"/>
        <v>2021</v>
      </c>
      <c r="R9" s="149">
        <f t="shared" si="1"/>
        <v>2020</v>
      </c>
      <c r="S9" s="150">
        <f t="shared" si="1"/>
        <v>2019</v>
      </c>
    </row>
    <row r="10" spans="2:19" ht="15.75">
      <c r="B10" s="152"/>
      <c r="C10" s="153"/>
      <c r="D10" s="154"/>
      <c r="E10" s="154"/>
      <c r="F10" s="155"/>
      <c r="G10" s="155"/>
      <c r="H10" s="155"/>
      <c r="I10" s="156"/>
      <c r="L10" s="152"/>
      <c r="M10" s="153"/>
      <c r="N10" s="154"/>
      <c r="O10" s="154"/>
      <c r="P10" s="155"/>
      <c r="Q10" s="155"/>
      <c r="R10" s="155"/>
      <c r="S10" s="156"/>
    </row>
    <row r="11" spans="2:19" ht="15.75">
      <c r="B11" s="157" t="s">
        <v>68</v>
      </c>
      <c r="C11" s="158" t="s">
        <v>138</v>
      </c>
      <c r="D11" s="159"/>
      <c r="E11" s="159"/>
      <c r="F11" s="160"/>
      <c r="G11" s="160"/>
      <c r="H11" s="160"/>
      <c r="I11" s="161"/>
      <c r="L11" s="157" t="s">
        <v>68</v>
      </c>
      <c r="M11" s="158" t="s">
        <v>69</v>
      </c>
      <c r="N11" s="159"/>
      <c r="O11" s="159"/>
      <c r="P11" s="160"/>
      <c r="Q11" s="160"/>
      <c r="R11" s="160"/>
      <c r="S11" s="161"/>
    </row>
    <row r="12" spans="2:19" ht="15.75">
      <c r="B12" s="152"/>
      <c r="C12" s="162"/>
      <c r="D12" s="159"/>
      <c r="E12" s="159"/>
      <c r="F12" s="160"/>
      <c r="G12" s="160"/>
      <c r="H12" s="160"/>
      <c r="I12" s="161"/>
      <c r="L12" s="157"/>
      <c r="M12" s="163" t="s">
        <v>70</v>
      </c>
      <c r="N12" s="159"/>
      <c r="O12" s="159"/>
      <c r="P12" s="160"/>
      <c r="Q12" s="160"/>
      <c r="R12" s="160"/>
      <c r="S12" s="491"/>
    </row>
    <row r="13" spans="2:19" ht="15.75">
      <c r="B13" s="157" t="s">
        <v>71</v>
      </c>
      <c r="C13" s="158" t="s">
        <v>72</v>
      </c>
      <c r="D13" s="164"/>
      <c r="E13" s="164"/>
      <c r="F13" s="165"/>
      <c r="G13" s="165"/>
      <c r="H13" s="165"/>
      <c r="I13" s="166"/>
      <c r="L13" s="157"/>
      <c r="M13" s="163" t="s">
        <v>73</v>
      </c>
      <c r="N13" s="167">
        <f>+O13+Dashboard!AB71</f>
        <v>200100</v>
      </c>
      <c r="O13" s="167">
        <f>+P13+Dashboard!W71</f>
        <v>200100</v>
      </c>
      <c r="P13" s="167">
        <f>+Q13+Dashboard!R71</f>
        <v>200100</v>
      </c>
      <c r="Q13" s="167">
        <f>+R13+Dashboard!M71</f>
        <v>200100</v>
      </c>
      <c r="R13" s="167">
        <f>+S13+Dashboard!H71</f>
        <v>200100</v>
      </c>
      <c r="S13" s="655">
        <v>100</v>
      </c>
    </row>
    <row r="14" spans="2:19" ht="15.75">
      <c r="B14" s="152"/>
      <c r="C14" s="168" t="s">
        <v>74</v>
      </c>
      <c r="D14" s="169"/>
      <c r="E14" s="169"/>
      <c r="F14" s="170"/>
      <c r="G14" s="170"/>
      <c r="H14" s="170"/>
      <c r="I14" s="171"/>
      <c r="L14" s="157"/>
      <c r="M14" s="172"/>
      <c r="N14" s="169"/>
      <c r="O14" s="169"/>
      <c r="P14" s="170"/>
      <c r="Q14" s="170"/>
      <c r="R14" s="170"/>
      <c r="S14" s="161"/>
    </row>
    <row r="15" spans="2:19" ht="15.75">
      <c r="B15" s="152"/>
      <c r="C15" s="172" t="s">
        <v>75</v>
      </c>
      <c r="D15" s="169">
        <f>+E15+SUM('D&amp;A'!BA8:BL8)-SUM('D&amp;A'!BA22:BL22)</f>
        <v>190034.16691358012</v>
      </c>
      <c r="E15" s="169">
        <f>+F15+SUM('D&amp;A'!AO8:AZ8)-SUM('D&amp;A'!AO22:AZ22)</f>
        <v>172102.57308641967</v>
      </c>
      <c r="F15" s="170">
        <f>+G15+SUM('D&amp;A'!AC8:AN8)-SUM('D&amp;A'!AC22:AN22)</f>
        <v>134901.21666666662</v>
      </c>
      <c r="G15" s="170">
        <f>+H15+SUM('D&amp;A'!Q8:AB8)-SUM('D&amp;A'!Q22:AB22)</f>
        <v>88338.03765432097</v>
      </c>
      <c r="H15" s="170">
        <f>SUM('D&amp;A'!E8:P8)-SUM('D&amp;A'!E22:P22)+I15</f>
        <v>64823</v>
      </c>
      <c r="I15" s="171">
        <f>+'D&amp;A'!D8-'D&amp;A'!D22</f>
        <v>70564</v>
      </c>
      <c r="L15" s="157"/>
      <c r="M15" s="163" t="s">
        <v>76</v>
      </c>
      <c r="N15" s="159"/>
      <c r="O15" s="159"/>
      <c r="P15" s="160"/>
      <c r="Q15" s="160"/>
      <c r="R15" s="160"/>
      <c r="S15" s="161"/>
    </row>
    <row r="16" spans="2:19" ht="15.75">
      <c r="B16" s="152"/>
      <c r="C16" s="172" t="s">
        <v>77</v>
      </c>
      <c r="D16" s="169"/>
      <c r="E16" s="169"/>
      <c r="F16" s="170"/>
      <c r="G16" s="170"/>
      <c r="H16" s="170"/>
      <c r="I16" s="171"/>
      <c r="L16" s="157"/>
      <c r="M16" s="172" t="s">
        <v>78</v>
      </c>
      <c r="N16" s="492">
        <f aca="true" t="shared" si="2" ref="N16:Q16">+O16</f>
        <v>144999</v>
      </c>
      <c r="O16" s="492">
        <f t="shared" si="2"/>
        <v>144999</v>
      </c>
      <c r="P16" s="490">
        <f t="shared" si="2"/>
        <v>144999</v>
      </c>
      <c r="Q16" s="490">
        <f t="shared" si="2"/>
        <v>144999</v>
      </c>
      <c r="R16" s="490">
        <f>+S16</f>
        <v>144999</v>
      </c>
      <c r="S16" s="643">
        <v>144999</v>
      </c>
    </row>
    <row r="17" spans="2:19" ht="15.75">
      <c r="B17" s="152"/>
      <c r="C17" s="172" t="s">
        <v>79</v>
      </c>
      <c r="D17" s="169"/>
      <c r="E17" s="169"/>
      <c r="F17" s="170"/>
      <c r="G17" s="170"/>
      <c r="H17" s="170"/>
      <c r="I17" s="171"/>
      <c r="L17" s="152"/>
      <c r="M17" s="172" t="s">
        <v>80</v>
      </c>
      <c r="N17" s="159"/>
      <c r="O17" s="159"/>
      <c r="P17" s="160"/>
      <c r="Q17" s="160"/>
      <c r="R17" s="160"/>
      <c r="S17" s="491"/>
    </row>
    <row r="18" spans="2:19" ht="15.75">
      <c r="B18" s="152"/>
      <c r="C18" s="172" t="s">
        <v>81</v>
      </c>
      <c r="D18" s="169"/>
      <c r="E18" s="169"/>
      <c r="F18" s="170"/>
      <c r="G18" s="170"/>
      <c r="H18" s="170"/>
      <c r="I18" s="171"/>
      <c r="L18" s="152"/>
      <c r="M18" s="172" t="s">
        <v>82</v>
      </c>
      <c r="N18" s="490">
        <f aca="true" t="shared" si="3" ref="N18:Q18">+O18</f>
        <v>0</v>
      </c>
      <c r="O18" s="490">
        <f t="shared" si="3"/>
        <v>0</v>
      </c>
      <c r="P18" s="490">
        <f t="shared" si="3"/>
        <v>0</v>
      </c>
      <c r="Q18" s="490">
        <f t="shared" si="3"/>
        <v>0</v>
      </c>
      <c r="R18" s="490">
        <f>+S18</f>
        <v>0</v>
      </c>
      <c r="S18" s="643">
        <v>0</v>
      </c>
    </row>
    <row r="19" spans="2:19" ht="15.75">
      <c r="B19" s="152"/>
      <c r="C19" s="172" t="s">
        <v>83</v>
      </c>
      <c r="D19" s="169"/>
      <c r="E19" s="169"/>
      <c r="F19" s="170"/>
      <c r="G19" s="170"/>
      <c r="H19" s="170"/>
      <c r="I19" s="171"/>
      <c r="L19" s="152"/>
      <c r="M19" s="163" t="s">
        <v>73</v>
      </c>
      <c r="N19" s="188">
        <f aca="true" t="shared" si="4" ref="N19:R19">+SUM(N16:N18)</f>
        <v>144999</v>
      </c>
      <c r="O19" s="188">
        <f t="shared" si="4"/>
        <v>144999</v>
      </c>
      <c r="P19" s="188">
        <f t="shared" si="4"/>
        <v>144999</v>
      </c>
      <c r="Q19" s="188">
        <f t="shared" si="4"/>
        <v>144999</v>
      </c>
      <c r="R19" s="188">
        <f t="shared" si="4"/>
        <v>144999</v>
      </c>
      <c r="S19" s="188">
        <f>+SUM(S16:S18)</f>
        <v>144999</v>
      </c>
    </row>
    <row r="20" spans="2:19" ht="15.75">
      <c r="B20" s="152"/>
      <c r="C20" s="163" t="s">
        <v>84</v>
      </c>
      <c r="D20" s="173">
        <f aca="true" t="shared" si="5" ref="D20">SUM(D15:D19)</f>
        <v>190034.16691358012</v>
      </c>
      <c r="E20" s="173">
        <f>SUM(E15:E19)</f>
        <v>172102.57308641967</v>
      </c>
      <c r="F20" s="174">
        <f>SUM(F15:F19)</f>
        <v>134901.21666666662</v>
      </c>
      <c r="G20" s="174">
        <f>SUM(G15:G19)</f>
        <v>88338.03765432097</v>
      </c>
      <c r="H20" s="174">
        <f>SUM(H15:H19)</f>
        <v>64823</v>
      </c>
      <c r="I20" s="180">
        <f aca="true" t="shared" si="6" ref="I20">SUM(I15:I19)</f>
        <v>70564</v>
      </c>
      <c r="L20" s="152"/>
      <c r="M20" s="172"/>
      <c r="N20" s="159"/>
      <c r="O20" s="159"/>
      <c r="P20" s="160"/>
      <c r="Q20" s="160"/>
      <c r="R20" s="160"/>
      <c r="S20" s="161"/>
    </row>
    <row r="21" spans="2:19" ht="15.75">
      <c r="B21" s="152"/>
      <c r="C21" s="172"/>
      <c r="D21" s="210"/>
      <c r="E21" s="210"/>
      <c r="F21" s="210"/>
      <c r="G21" s="210"/>
      <c r="H21" s="210"/>
      <c r="I21" s="171"/>
      <c r="L21" s="152"/>
      <c r="M21" s="163" t="s">
        <v>85</v>
      </c>
      <c r="N21" s="159"/>
      <c r="O21" s="159"/>
      <c r="P21" s="160"/>
      <c r="Q21" s="160"/>
      <c r="R21" s="160"/>
      <c r="S21" s="161"/>
    </row>
    <row r="22" spans="2:19" ht="15.75">
      <c r="B22" s="152"/>
      <c r="C22" s="168" t="s">
        <v>86</v>
      </c>
      <c r="D22" s="170"/>
      <c r="E22" s="170"/>
      <c r="F22" s="170"/>
      <c r="G22" s="170"/>
      <c r="H22" s="170"/>
      <c r="I22" s="171"/>
      <c r="L22" s="152"/>
      <c r="M22" s="172" t="s">
        <v>87</v>
      </c>
      <c r="N22" s="490">
        <f>+Dashboard!AB44</f>
        <v>638971.4982160835</v>
      </c>
      <c r="O22" s="490">
        <f>+Dashboard!W44</f>
        <v>227112.7159506306</v>
      </c>
      <c r="P22" s="490">
        <f>+Dashboard!R44</f>
        <v>-8638.406909088526</v>
      </c>
      <c r="Q22" s="490">
        <f>+Dashboard!M44</f>
        <v>-81922.40232716044</v>
      </c>
      <c r="R22" s="490">
        <f>Dashboard!H44</f>
        <v>-83406.50097119343</v>
      </c>
      <c r="S22" s="643">
        <v>-9061</v>
      </c>
    </row>
    <row r="23" spans="2:19" ht="15.75">
      <c r="B23" s="152"/>
      <c r="C23" s="172" t="s">
        <v>88</v>
      </c>
      <c r="D23" s="170"/>
      <c r="E23" s="170"/>
      <c r="F23" s="170"/>
      <c r="G23" s="170"/>
      <c r="H23" s="170"/>
      <c r="I23" s="171"/>
      <c r="L23" s="152"/>
      <c r="M23" s="172" t="s">
        <v>89</v>
      </c>
      <c r="N23" s="492">
        <f>O24</f>
        <v>44084.405743188225</v>
      </c>
      <c r="O23" s="492">
        <f>P24</f>
        <v>-183028.31020744238</v>
      </c>
      <c r="P23" s="490">
        <f>Q24</f>
        <v>-174389.90329835386</v>
      </c>
      <c r="Q23" s="490">
        <f>R24</f>
        <v>-92467.50097119343</v>
      </c>
      <c r="R23" s="490">
        <f>S24</f>
        <v>-9061</v>
      </c>
      <c r="S23" s="643">
        <v>0</v>
      </c>
    </row>
    <row r="24" spans="2:19" ht="15.75">
      <c r="B24" s="152"/>
      <c r="C24" s="172" t="s">
        <v>90</v>
      </c>
      <c r="D24" s="211"/>
      <c r="E24" s="211"/>
      <c r="F24" s="211"/>
      <c r="G24" s="211"/>
      <c r="H24" s="211"/>
      <c r="I24" s="208"/>
      <c r="L24" s="152"/>
      <c r="M24" s="176" t="s">
        <v>73</v>
      </c>
      <c r="N24" s="186">
        <f aca="true" t="shared" si="7" ref="N24">SUM(N22:N23)</f>
        <v>683055.9039592717</v>
      </c>
      <c r="O24" s="186">
        <f>SUM(O22:O23)</f>
        <v>44084.405743188225</v>
      </c>
      <c r="P24" s="187">
        <f>SUM(P22:P23)</f>
        <v>-183028.31020744238</v>
      </c>
      <c r="Q24" s="187">
        <f>SUM(Q22:Q23)</f>
        <v>-174389.90329835386</v>
      </c>
      <c r="R24" s="187">
        <f>SUM(R22:R23)</f>
        <v>-92467.50097119343</v>
      </c>
      <c r="S24" s="188">
        <f>+SUM(S22:S23)</f>
        <v>-9061</v>
      </c>
    </row>
    <row r="25" spans="2:19" ht="15.75">
      <c r="B25" s="152"/>
      <c r="C25" s="172" t="s">
        <v>91</v>
      </c>
      <c r="D25" s="170">
        <f>+E25+SUM('D&amp;A'!BA37:BL37)-SUM('D&amp;A'!BA51:BL51)</f>
        <v>0</v>
      </c>
      <c r="E25" s="170">
        <f>+SUM('D&amp;A'!AO37:AZ37)+F25-SUM('D&amp;A'!AO51:AZ51)</f>
        <v>0</v>
      </c>
      <c r="F25" s="170">
        <f>+SUM('D&amp;A'!AC37:AN37)+G25-SUM('D&amp;A'!AC51:AN51)</f>
        <v>0</v>
      </c>
      <c r="G25" s="170">
        <f>+SUM('D&amp;A'!Q37:AB37)+H25-SUM('D&amp;A'!Q51:AB51)</f>
        <v>0</v>
      </c>
      <c r="H25" s="170">
        <f>+SUM('D&amp;A'!E37:P37)-SUM('D&amp;A'!E51:P51)+I25</f>
        <v>0</v>
      </c>
      <c r="I25" s="798">
        <f>'D&amp;A'!D37-'D&amp;A'!D51</f>
        <v>0</v>
      </c>
      <c r="L25" s="157"/>
      <c r="M25" s="158" t="s">
        <v>92</v>
      </c>
      <c r="N25" s="177">
        <f aca="true" t="shared" si="8" ref="N25:Q25">N13+N19+N24</f>
        <v>1028154.9039592717</v>
      </c>
      <c r="O25" s="177">
        <f t="shared" si="8"/>
        <v>389183.4057431882</v>
      </c>
      <c r="P25" s="177">
        <f t="shared" si="8"/>
        <v>162070.68979255762</v>
      </c>
      <c r="Q25" s="177">
        <f t="shared" si="8"/>
        <v>170709.09670164614</v>
      </c>
      <c r="R25" s="177">
        <f>R13+R19+R24</f>
        <v>252631.49902880657</v>
      </c>
      <c r="S25" s="178">
        <f>S13+S19+S24</f>
        <v>136038</v>
      </c>
    </row>
    <row r="26" spans="2:19" ht="15.75">
      <c r="B26" s="152"/>
      <c r="C26" s="172" t="s">
        <v>93</v>
      </c>
      <c r="D26" s="170"/>
      <c r="E26" s="170"/>
      <c r="F26" s="170"/>
      <c r="G26" s="170"/>
      <c r="H26" s="170"/>
      <c r="I26" s="171"/>
      <c r="L26" s="152"/>
      <c r="M26" s="163"/>
      <c r="N26" s="159"/>
      <c r="O26" s="159"/>
      <c r="P26" s="160"/>
      <c r="Q26" s="160"/>
      <c r="R26" s="160"/>
      <c r="S26" s="161"/>
    </row>
    <row r="27" spans="2:19" ht="15.75">
      <c r="B27" s="152"/>
      <c r="C27" s="172" t="s">
        <v>94</v>
      </c>
      <c r="D27" s="212"/>
      <c r="E27" s="212"/>
      <c r="F27" s="212"/>
      <c r="G27" s="212"/>
      <c r="H27" s="212"/>
      <c r="I27" s="171"/>
      <c r="L27" s="157" t="s">
        <v>71</v>
      </c>
      <c r="M27" s="158" t="s">
        <v>95</v>
      </c>
      <c r="N27" s="164"/>
      <c r="O27" s="164"/>
      <c r="P27" s="165"/>
      <c r="Q27" s="165"/>
      <c r="R27" s="165"/>
      <c r="S27" s="166"/>
    </row>
    <row r="28" spans="2:19" ht="15.75">
      <c r="B28" s="152"/>
      <c r="C28" s="163" t="s">
        <v>73</v>
      </c>
      <c r="D28" s="179">
        <f>SUM(D23:D27)</f>
        <v>0</v>
      </c>
      <c r="E28" s="179">
        <f>SUM(E23:E27)</f>
        <v>0</v>
      </c>
      <c r="F28" s="179">
        <f>SUM(F23:F27)</f>
        <v>0</v>
      </c>
      <c r="G28" s="179">
        <f>SUM(G23:G27)</f>
        <v>0</v>
      </c>
      <c r="H28" s="179">
        <f>SUM(H23:H27)</f>
        <v>0</v>
      </c>
      <c r="I28" s="180">
        <f>SUM(I22:I27)</f>
        <v>0</v>
      </c>
      <c r="L28" s="157"/>
      <c r="M28" s="163" t="s">
        <v>73</v>
      </c>
      <c r="N28" s="173"/>
      <c r="O28" s="173">
        <f>O27</f>
        <v>0</v>
      </c>
      <c r="P28" s="173">
        <f>P27</f>
        <v>0</v>
      </c>
      <c r="Q28" s="173">
        <f>Q27</f>
        <v>0</v>
      </c>
      <c r="R28" s="173">
        <f>R27</f>
        <v>0</v>
      </c>
      <c r="S28" s="181">
        <f aca="true" t="shared" si="9" ref="S28">S27</f>
        <v>0</v>
      </c>
    </row>
    <row r="29" spans="2:19" ht="15.75">
      <c r="B29" s="152"/>
      <c r="C29" s="168"/>
      <c r="D29" s="169"/>
      <c r="E29" s="169"/>
      <c r="F29" s="170"/>
      <c r="G29" s="170"/>
      <c r="H29" s="170"/>
      <c r="I29" s="171"/>
      <c r="L29" s="152"/>
      <c r="M29" s="168"/>
      <c r="N29" s="169"/>
      <c r="O29" s="169"/>
      <c r="P29" s="170"/>
      <c r="Q29" s="170"/>
      <c r="R29" s="170"/>
      <c r="S29" s="456"/>
    </row>
    <row r="30" spans="2:19" ht="15.75">
      <c r="B30" s="152"/>
      <c r="C30" s="168" t="s">
        <v>96</v>
      </c>
      <c r="D30" s="169"/>
      <c r="E30" s="169"/>
      <c r="F30" s="170"/>
      <c r="G30" s="170"/>
      <c r="H30" s="170"/>
      <c r="I30" s="171"/>
      <c r="L30" s="157" t="s">
        <v>97</v>
      </c>
      <c r="M30" s="158" t="s">
        <v>98</v>
      </c>
      <c r="N30" s="169">
        <f>+' HR Breakdown'!Y10+O30</f>
        <v>68874.03292181069</v>
      </c>
      <c r="O30" s="169">
        <f>+' HR Breakdown'!T10+P30</f>
        <v>47392.55144032921</v>
      </c>
      <c r="P30" s="169">
        <f>+' HR Breakdown'!O10+Q30</f>
        <v>29318.477366255138</v>
      </c>
      <c r="Q30" s="169">
        <f>+' HR Breakdown'!J10+R30</f>
        <v>11614.773662551439</v>
      </c>
      <c r="R30" s="169">
        <f>+' HR Breakdown'!E10+S30</f>
        <v>2133.292181069959</v>
      </c>
      <c r="S30" s="648">
        <v>0</v>
      </c>
    </row>
    <row r="31" spans="2:19" ht="15.75">
      <c r="B31" s="152"/>
      <c r="C31" s="172" t="s">
        <v>99</v>
      </c>
      <c r="D31" s="169">
        <f aca="true" t="shared" si="10" ref="D31:F31">+E31</f>
        <v>0</v>
      </c>
      <c r="E31" s="169">
        <f t="shared" si="10"/>
        <v>0</v>
      </c>
      <c r="F31" s="170">
        <f t="shared" si="10"/>
        <v>0</v>
      </c>
      <c r="G31" s="170">
        <f>+H31</f>
        <v>0</v>
      </c>
      <c r="H31" s="170">
        <f>+I31</f>
        <v>0</v>
      </c>
      <c r="I31" s="648">
        <v>0</v>
      </c>
      <c r="L31" s="157"/>
      <c r="M31" s="163" t="s">
        <v>73</v>
      </c>
      <c r="N31" s="188">
        <f aca="true" t="shared" si="11" ref="N31">N30</f>
        <v>68874.03292181069</v>
      </c>
      <c r="O31" s="188">
        <f aca="true" t="shared" si="12" ref="O31">O30</f>
        <v>47392.55144032921</v>
      </c>
      <c r="P31" s="188">
        <f aca="true" t="shared" si="13" ref="P31">P30</f>
        <v>29318.477366255138</v>
      </c>
      <c r="Q31" s="188">
        <f aca="true" t="shared" si="14" ref="Q31">Q30</f>
        <v>11614.773662551439</v>
      </c>
      <c r="R31" s="188">
        <f aca="true" t="shared" si="15" ref="R31">R30</f>
        <v>2133.292181069959</v>
      </c>
      <c r="S31" s="188">
        <f aca="true" t="shared" si="16" ref="S31">S30</f>
        <v>0</v>
      </c>
    </row>
    <row r="32" spans="2:19" ht="15.75">
      <c r="B32" s="152"/>
      <c r="C32" s="172" t="s">
        <v>100</v>
      </c>
      <c r="D32" s="169"/>
      <c r="E32" s="169"/>
      <c r="F32" s="170"/>
      <c r="G32" s="170"/>
      <c r="H32" s="170"/>
      <c r="I32" s="171"/>
      <c r="L32" s="157"/>
      <c r="M32" s="172"/>
      <c r="N32" s="169"/>
      <c r="O32" s="169"/>
      <c r="P32" s="170"/>
      <c r="Q32" s="170"/>
      <c r="R32" s="170"/>
      <c r="S32" s="171"/>
    </row>
    <row r="33" spans="2:19" ht="15.75">
      <c r="B33" s="152"/>
      <c r="C33" s="172" t="s">
        <v>101</v>
      </c>
      <c r="D33" s="169"/>
      <c r="E33" s="169"/>
      <c r="F33" s="170"/>
      <c r="G33" s="170"/>
      <c r="H33" s="170"/>
      <c r="I33" s="648"/>
      <c r="L33" s="157" t="s">
        <v>102</v>
      </c>
      <c r="M33" s="158" t="s">
        <v>103</v>
      </c>
      <c r="N33" s="169"/>
      <c r="O33" s="169"/>
      <c r="P33" s="170"/>
      <c r="Q33" s="170"/>
      <c r="R33" s="170"/>
      <c r="S33" s="171"/>
    </row>
    <row r="34" spans="2:19" ht="15.75">
      <c r="B34" s="152"/>
      <c r="C34" s="172" t="s">
        <v>104</v>
      </c>
      <c r="D34" s="169"/>
      <c r="E34" s="169"/>
      <c r="F34" s="170"/>
      <c r="G34" s="170"/>
      <c r="H34" s="170"/>
      <c r="I34" s="171"/>
      <c r="L34" s="152"/>
      <c r="M34" s="172" t="s">
        <v>105</v>
      </c>
      <c r="N34" s="169"/>
      <c r="O34" s="169"/>
      <c r="P34" s="170"/>
      <c r="Q34" s="170"/>
      <c r="R34" s="170"/>
      <c r="S34" s="171"/>
    </row>
    <row r="35" spans="2:19" ht="15.75">
      <c r="B35" s="152"/>
      <c r="C35" s="163" t="s">
        <v>73</v>
      </c>
      <c r="D35" s="173">
        <f aca="true" t="shared" si="17" ref="D35:H35">+SUM(D31:D34)</f>
        <v>0</v>
      </c>
      <c r="E35" s="173">
        <f t="shared" si="17"/>
        <v>0</v>
      </c>
      <c r="F35" s="174">
        <f t="shared" si="17"/>
        <v>0</v>
      </c>
      <c r="G35" s="174">
        <f t="shared" si="17"/>
        <v>0</v>
      </c>
      <c r="H35" s="174">
        <f t="shared" si="17"/>
        <v>0</v>
      </c>
      <c r="I35" s="175">
        <f>+SUM(I31:I34)</f>
        <v>0</v>
      </c>
      <c r="L35" s="152"/>
      <c r="M35" s="172" t="s">
        <v>106</v>
      </c>
      <c r="N35" s="170">
        <f>'Debt amortization'!BV150</f>
        <v>2224.2386069583513</v>
      </c>
      <c r="O35" s="170">
        <f>'Debt amortization'!BJ150</f>
        <v>3775.4334030265127</v>
      </c>
      <c r="P35" s="170">
        <f>'Debt amortization'!AX150</f>
        <v>5311.19994844753</v>
      </c>
      <c r="Q35" s="170">
        <f>'Debt amortization'!AL150</f>
        <v>6200</v>
      </c>
      <c r="R35" s="170">
        <f>'Debt amortization'!Z150</f>
        <v>6200</v>
      </c>
      <c r="S35" s="171">
        <f>'Debt amortization'!N150</f>
        <v>0</v>
      </c>
    </row>
    <row r="36" spans="2:19" ht="16.2" thickBot="1">
      <c r="B36" s="152"/>
      <c r="C36" s="158" t="s">
        <v>107</v>
      </c>
      <c r="D36" s="182">
        <f aca="true" t="shared" si="18" ref="D36">D20+D28+D35</f>
        <v>190034.16691358012</v>
      </c>
      <c r="E36" s="182">
        <f>E20+E28+E35</f>
        <v>172102.57308641967</v>
      </c>
      <c r="F36" s="183">
        <f>F20+F28+F35</f>
        <v>134901.21666666662</v>
      </c>
      <c r="G36" s="183">
        <f>G20+G28+G35</f>
        <v>88338.03765432097</v>
      </c>
      <c r="H36" s="183">
        <f>H20+H28+H35</f>
        <v>64823</v>
      </c>
      <c r="I36" s="184">
        <f>+I35+I28+I20</f>
        <v>70564</v>
      </c>
      <c r="L36" s="152"/>
      <c r="M36" s="172" t="s">
        <v>108</v>
      </c>
      <c r="N36" s="169"/>
      <c r="O36" s="169"/>
      <c r="P36" s="170"/>
      <c r="Q36" s="170"/>
      <c r="R36" s="170"/>
      <c r="S36" s="89"/>
    </row>
    <row r="37" spans="2:19" ht="15.75">
      <c r="B37" s="152"/>
      <c r="C37" s="163"/>
      <c r="D37" s="164"/>
      <c r="E37" s="164"/>
      <c r="F37" s="165"/>
      <c r="G37" s="165"/>
      <c r="H37" s="165"/>
      <c r="I37" s="166"/>
      <c r="L37" s="152"/>
      <c r="M37" s="172" t="s">
        <v>106</v>
      </c>
      <c r="N37" s="169">
        <f>+O37</f>
        <v>10000</v>
      </c>
      <c r="O37" s="169">
        <f>+P37</f>
        <v>10000</v>
      </c>
      <c r="P37" s="170">
        <f>+Q37</f>
        <v>10000</v>
      </c>
      <c r="Q37" s="170">
        <f>+R37</f>
        <v>10000</v>
      </c>
      <c r="R37" s="170">
        <f>+S37</f>
        <v>10000</v>
      </c>
      <c r="S37" s="648">
        <v>10000</v>
      </c>
    </row>
    <row r="38" spans="2:19" ht="15.75">
      <c r="B38" s="157" t="s">
        <v>97</v>
      </c>
      <c r="C38" s="158" t="s">
        <v>109</v>
      </c>
      <c r="D38" s="164"/>
      <c r="E38" s="164"/>
      <c r="F38" s="165"/>
      <c r="G38" s="165"/>
      <c r="H38" s="165"/>
      <c r="I38" s="166"/>
      <c r="L38" s="152"/>
      <c r="M38" s="172" t="s">
        <v>330</v>
      </c>
      <c r="N38" s="169"/>
      <c r="O38" s="169"/>
      <c r="P38" s="170"/>
      <c r="Q38" s="170"/>
      <c r="R38" s="170"/>
      <c r="S38" s="171"/>
    </row>
    <row r="39" spans="2:19" ht="15.75">
      <c r="B39" s="152"/>
      <c r="C39" s="168" t="s">
        <v>110</v>
      </c>
      <c r="D39" s="169"/>
      <c r="E39" s="169"/>
      <c r="F39" s="170"/>
      <c r="G39" s="170"/>
      <c r="H39" s="170"/>
      <c r="I39" s="171"/>
      <c r="L39" s="152"/>
      <c r="M39" s="172" t="s">
        <v>111</v>
      </c>
      <c r="N39" s="169"/>
      <c r="O39" s="169"/>
      <c r="P39" s="170"/>
      <c r="Q39" s="170"/>
      <c r="R39" s="170"/>
      <c r="S39" s="171"/>
    </row>
    <row r="40" spans="2:19" ht="15.75">
      <c r="B40" s="152"/>
      <c r="C40" s="168"/>
      <c r="D40" s="169"/>
      <c r="E40" s="169"/>
      <c r="F40" s="170"/>
      <c r="G40" s="170"/>
      <c r="H40" s="170"/>
      <c r="I40" s="171"/>
      <c r="L40" s="185"/>
      <c r="M40" s="168" t="s">
        <v>112</v>
      </c>
      <c r="N40" s="186">
        <f aca="true" t="shared" si="19" ref="N40:P40">SUM(N34:N39)</f>
        <v>12224.238606958352</v>
      </c>
      <c r="O40" s="186">
        <f t="shared" si="19"/>
        <v>13775.433403026513</v>
      </c>
      <c r="P40" s="187">
        <f t="shared" si="19"/>
        <v>15311.199948447531</v>
      </c>
      <c r="Q40" s="187">
        <f>SUM(Q34:Q39)</f>
        <v>16200</v>
      </c>
      <c r="R40" s="187">
        <f>SUM(R34:R39)</f>
        <v>16200</v>
      </c>
      <c r="S40" s="188">
        <f>+SUM(S34:S39)</f>
        <v>10000</v>
      </c>
    </row>
    <row r="41" spans="2:19" ht="15.75">
      <c r="B41" s="152"/>
      <c r="C41" s="172" t="s">
        <v>113</v>
      </c>
      <c r="D41" s="169"/>
      <c r="E41" s="169"/>
      <c r="F41" s="170"/>
      <c r="G41" s="170"/>
      <c r="H41" s="170"/>
      <c r="I41" s="171"/>
      <c r="L41" s="152"/>
      <c r="M41" s="172" t="s">
        <v>114</v>
      </c>
      <c r="N41" s="169"/>
      <c r="O41" s="169"/>
      <c r="P41" s="170"/>
      <c r="Q41" s="170"/>
      <c r="R41" s="170"/>
      <c r="S41" s="171"/>
    </row>
    <row r="42" spans="2:19" ht="15.75">
      <c r="B42" s="152"/>
      <c r="C42" s="172" t="s">
        <v>115</v>
      </c>
      <c r="D42" s="169"/>
      <c r="E42" s="169"/>
      <c r="F42" s="170"/>
      <c r="G42" s="170"/>
      <c r="H42" s="170"/>
      <c r="I42" s="171"/>
      <c r="L42" s="152"/>
      <c r="M42" s="172" t="s">
        <v>111</v>
      </c>
      <c r="N42" s="169">
        <f>+SUM('Cash Flow Statement'!BA11:BL11)+O42</f>
        <v>0</v>
      </c>
      <c r="O42" s="169">
        <f>+SUM('Cash Flow Statement'!AO11:AZ11)+P42</f>
        <v>0</v>
      </c>
      <c r="P42" s="170">
        <f>+SUM('Cash Flow Statement'!AC11:AN11)+Q42</f>
        <v>0</v>
      </c>
      <c r="Q42" s="170">
        <f>+SUM('Cash Flow Statement'!Q11:AB11)+R42</f>
        <v>0</v>
      </c>
      <c r="R42" s="170">
        <f>+SUM('Cash Flow Statement'!E11:P11)+S42</f>
        <v>1404</v>
      </c>
      <c r="S42" s="648">
        <v>2808</v>
      </c>
    </row>
    <row r="43" spans="2:19" ht="15.75">
      <c r="B43" s="152"/>
      <c r="C43" s="172" t="s">
        <v>116</v>
      </c>
      <c r="D43" s="169"/>
      <c r="E43" s="169"/>
      <c r="F43" s="170"/>
      <c r="G43" s="170"/>
      <c r="H43" s="170"/>
      <c r="I43" s="171"/>
      <c r="L43" s="152"/>
      <c r="M43" s="172" t="s">
        <v>117</v>
      </c>
      <c r="N43" s="169"/>
      <c r="O43" s="169"/>
      <c r="P43" s="170"/>
      <c r="Q43" s="170"/>
      <c r="R43" s="170"/>
      <c r="S43" s="171"/>
    </row>
    <row r="44" spans="2:19" ht="15.75">
      <c r="B44" s="152"/>
      <c r="C44" s="172" t="s">
        <v>118</v>
      </c>
      <c r="D44" s="169">
        <f>-SUM('Cash Flow Statement'!BA12:BL12)+'Balance Sheet'!E44</f>
        <v>0</v>
      </c>
      <c r="E44" s="169">
        <f>-SUM('Cash Flow Statement'!AO12:AZ12)+'Balance Sheet'!F44</f>
        <v>0</v>
      </c>
      <c r="F44" s="170">
        <f>-SUM('Cash Flow Statement'!AC12:AN12)+'Balance Sheet'!G44</f>
        <v>0</v>
      </c>
      <c r="G44" s="170">
        <f>-SUM('Cash Flow Statement'!Q12:AB12)+'Balance Sheet'!H44</f>
        <v>0</v>
      </c>
      <c r="H44" s="170">
        <f>-SUM('Cash Flow Statement'!E12:P12)+'Balance Sheet'!I44</f>
        <v>0</v>
      </c>
      <c r="I44" s="648">
        <v>0</v>
      </c>
      <c r="L44" s="152"/>
      <c r="M44" s="172" t="s">
        <v>111</v>
      </c>
      <c r="N44" s="169">
        <f>Dashboard!AB43</f>
        <v>273844.92780689296</v>
      </c>
      <c r="O44" s="169">
        <f>Dashboard!W43</f>
        <v>97334.02112169882</v>
      </c>
      <c r="P44" s="170">
        <f>+Dashboard!R43</f>
        <v>0</v>
      </c>
      <c r="Q44" s="170">
        <f>+Dashboard!M43</f>
        <v>0</v>
      </c>
      <c r="R44" s="170">
        <f>+Dashboard!H43</f>
        <v>0</v>
      </c>
      <c r="S44" s="648"/>
    </row>
    <row r="45" spans="2:19" ht="15.75">
      <c r="B45" s="152"/>
      <c r="C45" s="172" t="s">
        <v>119</v>
      </c>
      <c r="D45" s="169"/>
      <c r="E45" s="169"/>
      <c r="F45" s="170"/>
      <c r="G45" s="170"/>
      <c r="H45" s="170"/>
      <c r="I45" s="171"/>
      <c r="L45" s="152"/>
      <c r="M45" s="172" t="s">
        <v>120</v>
      </c>
      <c r="N45" s="169"/>
      <c r="O45" s="169"/>
      <c r="P45" s="170"/>
      <c r="Q45" s="170"/>
      <c r="R45" s="170"/>
      <c r="S45" s="171"/>
    </row>
    <row r="46" spans="2:19" ht="15.75">
      <c r="B46" s="152"/>
      <c r="C46" s="163" t="s">
        <v>73</v>
      </c>
      <c r="D46" s="173">
        <f>D44</f>
        <v>0</v>
      </c>
      <c r="E46" s="173">
        <f>SUM(E41:E45)</f>
        <v>0</v>
      </c>
      <c r="F46" s="174">
        <f>SUM(F41:F45)</f>
        <v>0</v>
      </c>
      <c r="G46" s="174">
        <f>SUM(G41:G45)</f>
        <v>0</v>
      </c>
      <c r="H46" s="174">
        <f>SUM(H41:H45)</f>
        <v>0</v>
      </c>
      <c r="I46" s="175"/>
      <c r="L46" s="152"/>
      <c r="M46" s="172" t="s">
        <v>111</v>
      </c>
      <c r="N46" s="169">
        <f>+O46+SUM('Cash Flow Statement'!BA21:BL21)</f>
        <v>0</v>
      </c>
      <c r="O46" s="169">
        <f>+P46+SUM('Cash Flow Statement'!AO21:AZ21)</f>
        <v>0</v>
      </c>
      <c r="P46" s="170">
        <f>+'Balance Sheet'!Q46+SUM('Cash Flow Statement'!AC21:AN21)</f>
        <v>0</v>
      </c>
      <c r="Q46" s="170">
        <f>+'Balance Sheet'!R46+SUM('Cash Flow Statement'!Q21:AB21)</f>
        <v>0</v>
      </c>
      <c r="R46" s="170">
        <f>S46+SUM('Cash Flow Statement'!E21:P21)</f>
        <v>0</v>
      </c>
      <c r="S46" s="648"/>
    </row>
    <row r="47" spans="2:19" ht="15.75">
      <c r="B47" s="152"/>
      <c r="C47" s="163"/>
      <c r="D47" s="169"/>
      <c r="E47" s="169"/>
      <c r="F47" s="170"/>
      <c r="G47" s="170"/>
      <c r="H47" s="170"/>
      <c r="I47" s="171"/>
      <c r="L47" s="152"/>
      <c r="M47" s="172" t="s">
        <v>328</v>
      </c>
      <c r="N47" s="169"/>
      <c r="O47" s="169"/>
      <c r="P47" s="170"/>
      <c r="Q47" s="170"/>
      <c r="R47" s="170"/>
      <c r="S47" s="171"/>
    </row>
    <row r="48" spans="2:19" ht="15.75">
      <c r="B48" s="152"/>
      <c r="C48" s="168" t="s">
        <v>121</v>
      </c>
      <c r="D48" s="169"/>
      <c r="E48" s="169"/>
      <c r="F48" s="170"/>
      <c r="G48" s="170"/>
      <c r="H48" s="170"/>
      <c r="I48" s="171"/>
      <c r="L48" s="152"/>
      <c r="M48" s="172" t="s">
        <v>329</v>
      </c>
      <c r="N48" s="169">
        <f>+IF(Dashboard!AB53&gt;0,Dashboard!AB53,0)+O48</f>
        <v>34368.63470700003</v>
      </c>
      <c r="O48" s="169">
        <f>+IF(Dashboard!W53&gt;0,Dashboard!W53,0)+P48</f>
        <v>18401.684418333338</v>
      </c>
      <c r="P48" s="170">
        <f>+IF(Dashboard!R53&gt;0,Dashboard!R53,0)+Q48</f>
        <v>9461.65480333339</v>
      </c>
      <c r="Q48" s="170">
        <f>+IF(Dashboard!M53&gt;0,Dashboard!M53,0)+R48</f>
        <v>4852.311603333336</v>
      </c>
      <c r="R48" s="170">
        <f>+IF(Dashboard!H53&gt;0,Dashboard!H53,0)+S48</f>
        <v>1129.1230499999995</v>
      </c>
      <c r="S48" s="648">
        <v>0</v>
      </c>
    </row>
    <row r="49" spans="2:19" ht="15.75">
      <c r="B49" s="152"/>
      <c r="C49" s="172" t="s">
        <v>123</v>
      </c>
      <c r="D49" s="169"/>
      <c r="E49" s="169"/>
      <c r="F49" s="170"/>
      <c r="G49" s="170"/>
      <c r="H49" s="170"/>
      <c r="I49" s="89"/>
      <c r="L49" s="185"/>
      <c r="M49" s="168" t="s">
        <v>122</v>
      </c>
      <c r="N49" s="186">
        <f>SUM(N42:N48)</f>
        <v>308213.562513893</v>
      </c>
      <c r="O49" s="186">
        <f>SUM(O42:O48)</f>
        <v>115735.70554003216</v>
      </c>
      <c r="P49" s="187">
        <f>SUM(P42:P48)</f>
        <v>9461.65480333339</v>
      </c>
      <c r="Q49" s="187">
        <f>SUM(Q42:Q48)</f>
        <v>4852.311603333336</v>
      </c>
      <c r="R49" s="187">
        <f>SUM(R42:R48)</f>
        <v>2533.1230499999992</v>
      </c>
      <c r="S49" s="188">
        <f>+SUM(S41:S48)</f>
        <v>2808</v>
      </c>
    </row>
    <row r="50" spans="2:19" ht="15.75">
      <c r="B50" s="152"/>
      <c r="C50" s="172" t="s">
        <v>124</v>
      </c>
      <c r="D50" s="170">
        <f>+E50-SUM('Cash Flow Statement'!BA10:BL10)</f>
        <v>0</v>
      </c>
      <c r="E50" s="170">
        <f>-SUM('Cash Flow Statement'!AO10:AZ10)+F50</f>
        <v>0</v>
      </c>
      <c r="F50" s="170">
        <f>-SUM('Cash Flow Statement'!AC10:AN10)+G50</f>
        <v>0</v>
      </c>
      <c r="G50" s="170">
        <f>-SUM('Cash Flow Statement'!Q10:AB10)+H50</f>
        <v>0</v>
      </c>
      <c r="H50" s="170">
        <f>-SUM('Cash Flow Statement'!E10:P10)+I50</f>
        <v>405.5</v>
      </c>
      <c r="I50" s="648">
        <v>811</v>
      </c>
      <c r="L50" s="152"/>
      <c r="M50" s="163" t="s">
        <v>73</v>
      </c>
      <c r="N50" s="186">
        <f>N49+N40</f>
        <v>320437.80112085136</v>
      </c>
      <c r="O50" s="186">
        <f>O49+O40</f>
        <v>129511.13894305867</v>
      </c>
      <c r="P50" s="187">
        <f>P40+P49</f>
        <v>24772.85475178092</v>
      </c>
      <c r="Q50" s="187">
        <f>Q49+Q40</f>
        <v>21052.311603333335</v>
      </c>
      <c r="R50" s="187">
        <f>R40+R49</f>
        <v>18733.12305</v>
      </c>
      <c r="S50" s="188">
        <f aca="true" t="shared" si="20" ref="S50">S40+S49</f>
        <v>12808</v>
      </c>
    </row>
    <row r="51" spans="2:19" ht="15.75">
      <c r="B51" s="152"/>
      <c r="C51" s="172" t="s">
        <v>125</v>
      </c>
      <c r="D51" s="169"/>
      <c r="E51" s="169"/>
      <c r="F51" s="170"/>
      <c r="G51" s="170"/>
      <c r="H51" s="170"/>
      <c r="I51" s="171"/>
      <c r="L51" s="152"/>
      <c r="M51" s="163"/>
      <c r="N51" s="169"/>
      <c r="O51" s="169"/>
      <c r="P51" s="170"/>
      <c r="Q51" s="170"/>
      <c r="R51" s="170"/>
      <c r="S51" s="171"/>
    </row>
    <row r="52" spans="2:19" ht="15.75">
      <c r="B52" s="152"/>
      <c r="C52" s="172" t="s">
        <v>111</v>
      </c>
      <c r="D52" s="170">
        <f aca="true" t="shared" si="21" ref="D52:G52">+E52</f>
        <v>0</v>
      </c>
      <c r="E52" s="170">
        <f t="shared" si="21"/>
        <v>0</v>
      </c>
      <c r="F52" s="170">
        <f t="shared" si="21"/>
        <v>0</v>
      </c>
      <c r="G52" s="170">
        <f t="shared" si="21"/>
        <v>0</v>
      </c>
      <c r="H52" s="170">
        <f>+I52</f>
        <v>0</v>
      </c>
      <c r="I52" s="648">
        <v>0</v>
      </c>
      <c r="L52" s="157" t="s">
        <v>126</v>
      </c>
      <c r="M52" s="158" t="s">
        <v>127</v>
      </c>
      <c r="N52" s="170">
        <f aca="true" t="shared" si="22" ref="N52:Q52">+O52</f>
        <v>0</v>
      </c>
      <c r="O52" s="170">
        <f t="shared" si="22"/>
        <v>0</v>
      </c>
      <c r="P52" s="170">
        <f t="shared" si="22"/>
        <v>0</v>
      </c>
      <c r="Q52" s="170">
        <f t="shared" si="22"/>
        <v>0</v>
      </c>
      <c r="R52" s="170">
        <f>+S52</f>
        <v>0</v>
      </c>
      <c r="S52" s="648">
        <v>0</v>
      </c>
    </row>
    <row r="53" spans="2:19" ht="15.75">
      <c r="B53" s="152"/>
      <c r="C53" s="172" t="s">
        <v>326</v>
      </c>
      <c r="D53" s="170"/>
      <c r="E53" s="170"/>
      <c r="F53" s="170"/>
      <c r="G53" s="170"/>
      <c r="H53" s="170"/>
      <c r="I53" s="648"/>
      <c r="L53" s="493"/>
      <c r="M53" s="176" t="s">
        <v>73</v>
      </c>
      <c r="N53" s="173">
        <f aca="true" t="shared" si="23" ref="N53:S53">N52</f>
        <v>0</v>
      </c>
      <c r="O53" s="173">
        <f t="shared" si="23"/>
        <v>0</v>
      </c>
      <c r="P53" s="173">
        <f t="shared" si="23"/>
        <v>0</v>
      </c>
      <c r="Q53" s="173">
        <f t="shared" si="23"/>
        <v>0</v>
      </c>
      <c r="R53" s="173">
        <f t="shared" si="23"/>
        <v>0</v>
      </c>
      <c r="S53" s="173">
        <f t="shared" si="23"/>
        <v>0</v>
      </c>
    </row>
    <row r="54" spans="2:19" ht="15.75">
      <c r="B54" s="152"/>
      <c r="C54" s="172" t="s">
        <v>101</v>
      </c>
      <c r="D54" s="170">
        <f>+IF(Dashboard!AB53&lt;0,-Dashboard!AB53,0)+E54</f>
        <v>32733</v>
      </c>
      <c r="E54" s="170">
        <f>+IF(Dashboard!W53&lt;0,-Dashboard!W53,0)+F54</f>
        <v>32733</v>
      </c>
      <c r="F54" s="170">
        <f>+IF(Dashboard!R53&lt;0,-Dashboard!R53,0)+G54</f>
        <v>32733</v>
      </c>
      <c r="G54" s="170">
        <f>+IF(Dashboard!M53&lt;0,-Dashboard!M53,0)+H54</f>
        <v>32733</v>
      </c>
      <c r="H54" s="170">
        <f>+IF(Dashboard!H53&lt;0,-Dashboard!H53,0)+I54</f>
        <v>32733</v>
      </c>
      <c r="I54" s="648">
        <v>32733</v>
      </c>
      <c r="L54" s="157"/>
      <c r="M54" s="163"/>
      <c r="N54" s="169"/>
      <c r="O54" s="169"/>
      <c r="P54" s="169"/>
      <c r="Q54" s="169"/>
      <c r="R54" s="169"/>
      <c r="S54" s="189"/>
    </row>
    <row r="55" spans="2:19" ht="15.75">
      <c r="B55" s="152"/>
      <c r="C55" s="163" t="s">
        <v>73</v>
      </c>
      <c r="D55" s="173">
        <f aca="true" t="shared" si="24" ref="D55:G55">SUM(D50+D52+D54)</f>
        <v>32733</v>
      </c>
      <c r="E55" s="173">
        <f t="shared" si="24"/>
        <v>32733</v>
      </c>
      <c r="F55" s="174">
        <f>SUM(F50+F52+F54)</f>
        <v>32733</v>
      </c>
      <c r="G55" s="174">
        <f t="shared" si="24"/>
        <v>32733</v>
      </c>
      <c r="H55" s="174">
        <f>SUM(H50+H52+H54)</f>
        <v>33138.5</v>
      </c>
      <c r="I55" s="175">
        <f aca="true" t="shared" si="25" ref="I55">SUM(I50+I52+I54)</f>
        <v>33544</v>
      </c>
      <c r="L55" s="157"/>
      <c r="M55" s="163"/>
      <c r="N55" s="169"/>
      <c r="O55" s="169"/>
      <c r="P55" s="169"/>
      <c r="Q55" s="169"/>
      <c r="R55" s="169"/>
      <c r="S55" s="189"/>
    </row>
    <row r="56" spans="2:19" ht="15.75">
      <c r="B56" s="152"/>
      <c r="C56" s="168"/>
      <c r="D56" s="169"/>
      <c r="E56" s="169"/>
      <c r="F56" s="170"/>
      <c r="G56" s="170"/>
      <c r="H56" s="170"/>
      <c r="I56" s="171"/>
      <c r="L56" s="157"/>
      <c r="M56" s="163"/>
      <c r="N56" s="169"/>
      <c r="O56" s="169"/>
      <c r="P56" s="169"/>
      <c r="Q56" s="169"/>
      <c r="R56" s="169"/>
      <c r="S56" s="189"/>
    </row>
    <row r="57" spans="2:19" ht="15.75">
      <c r="B57" s="152"/>
      <c r="C57" s="163" t="s">
        <v>128</v>
      </c>
      <c r="D57" s="169"/>
      <c r="E57" s="169"/>
      <c r="F57" s="170"/>
      <c r="G57" s="170"/>
      <c r="H57" s="170"/>
      <c r="I57" s="171"/>
      <c r="L57" s="157"/>
      <c r="M57" s="163"/>
      <c r="N57" s="169"/>
      <c r="O57" s="169"/>
      <c r="P57" s="169"/>
      <c r="Q57" s="169"/>
      <c r="R57" s="169"/>
      <c r="S57" s="189"/>
    </row>
    <row r="58" spans="2:19" ht="15.75">
      <c r="B58" s="152"/>
      <c r="C58" s="172" t="s">
        <v>99</v>
      </c>
      <c r="D58" s="169"/>
      <c r="E58" s="169"/>
      <c r="F58" s="170"/>
      <c r="G58" s="170"/>
      <c r="H58" s="170"/>
      <c r="I58" s="648">
        <v>0</v>
      </c>
      <c r="L58" s="157"/>
      <c r="M58" s="163"/>
      <c r="N58" s="169"/>
      <c r="O58" s="169"/>
      <c r="P58" s="169"/>
      <c r="Q58" s="169"/>
      <c r="R58" s="169"/>
      <c r="S58" s="189"/>
    </row>
    <row r="59" spans="2:19" ht="15.75">
      <c r="B59" s="152"/>
      <c r="C59" s="172" t="s">
        <v>129</v>
      </c>
      <c r="D59" s="169"/>
      <c r="E59" s="169"/>
      <c r="F59" s="170"/>
      <c r="G59" s="170"/>
      <c r="H59" s="170"/>
      <c r="I59" s="648">
        <v>0</v>
      </c>
      <c r="L59" s="157"/>
      <c r="M59" s="163"/>
      <c r="N59" s="169"/>
      <c r="O59" s="169"/>
      <c r="P59" s="169"/>
      <c r="Q59" s="169"/>
      <c r="R59" s="169"/>
      <c r="S59" s="189"/>
    </row>
    <row r="60" spans="2:19" ht="15.75">
      <c r="B60" s="152"/>
      <c r="C60" s="163" t="s">
        <v>73</v>
      </c>
      <c r="D60" s="173">
        <f aca="true" t="shared" si="26" ref="D60">D58+D59</f>
        <v>0</v>
      </c>
      <c r="E60" s="173">
        <f>E58+E59</f>
        <v>0</v>
      </c>
      <c r="F60" s="174">
        <f>F58+F59</f>
        <v>0</v>
      </c>
      <c r="G60" s="174">
        <f>G58+G59</f>
        <v>0</v>
      </c>
      <c r="H60" s="174">
        <f>H58+H59</f>
        <v>0</v>
      </c>
      <c r="I60" s="175">
        <f aca="true" t="shared" si="27" ref="I60">I58+I59</f>
        <v>0</v>
      </c>
      <c r="L60" s="157"/>
      <c r="M60" s="163"/>
      <c r="N60" s="169"/>
      <c r="O60" s="169"/>
      <c r="P60" s="169"/>
      <c r="Q60" s="169"/>
      <c r="R60" s="169"/>
      <c r="S60" s="189"/>
    </row>
    <row r="61" spans="2:19" ht="15.75">
      <c r="B61" s="152"/>
      <c r="C61" s="163"/>
      <c r="D61" s="164"/>
      <c r="E61" s="164"/>
      <c r="F61" s="165"/>
      <c r="G61" s="165"/>
      <c r="H61" s="165"/>
      <c r="I61" s="166"/>
      <c r="L61" s="157"/>
      <c r="M61" s="163"/>
      <c r="N61" s="169"/>
      <c r="O61" s="169"/>
      <c r="P61" s="169"/>
      <c r="Q61" s="169"/>
      <c r="R61" s="169"/>
      <c r="S61" s="189"/>
    </row>
    <row r="62" spans="2:19" ht="15.75">
      <c r="B62" s="152"/>
      <c r="C62" s="163" t="s">
        <v>130</v>
      </c>
      <c r="D62" s="169"/>
      <c r="E62" s="169"/>
      <c r="F62" s="170"/>
      <c r="G62" s="170"/>
      <c r="H62" s="170"/>
      <c r="I62" s="171"/>
      <c r="L62" s="157"/>
      <c r="M62" s="163"/>
      <c r="N62" s="169"/>
      <c r="O62" s="169"/>
      <c r="P62" s="169"/>
      <c r="Q62" s="169"/>
      <c r="R62" s="169"/>
      <c r="S62" s="189"/>
    </row>
    <row r="63" spans="2:19" ht="15.75">
      <c r="B63" s="152"/>
      <c r="C63" s="172" t="s">
        <v>327</v>
      </c>
      <c r="D63" s="649">
        <f>+Dashboard!AB74</f>
        <v>1194699.5710883532</v>
      </c>
      <c r="E63" s="649">
        <f>+Dashboard!W74</f>
        <v>361251.523040156</v>
      </c>
      <c r="F63" s="650">
        <f>+Dashboard!R74</f>
        <v>48527.80524392693</v>
      </c>
      <c r="G63" s="650">
        <f>+Dashboard!M74</f>
        <v>82305.14431320982</v>
      </c>
      <c r="H63" s="650">
        <f>Dashboard!H74</f>
        <v>175536.41425987653</v>
      </c>
      <c r="I63" s="651">
        <v>44738</v>
      </c>
      <c r="L63" s="157"/>
      <c r="M63" s="163"/>
      <c r="N63" s="169"/>
      <c r="O63" s="169"/>
      <c r="P63" s="169"/>
      <c r="Q63" s="169"/>
      <c r="R63" s="169"/>
      <c r="S63" s="189"/>
    </row>
    <row r="64" spans="2:19" ht="15.75">
      <c r="B64" s="152"/>
      <c r="C64" s="163" t="s">
        <v>73</v>
      </c>
      <c r="D64" s="186">
        <f aca="true" t="shared" si="28" ref="D64:I64">SUM(D63:D63)</f>
        <v>1194699.5710883532</v>
      </c>
      <c r="E64" s="186">
        <f t="shared" si="28"/>
        <v>361251.523040156</v>
      </c>
      <c r="F64" s="187">
        <f t="shared" si="28"/>
        <v>48527.80524392693</v>
      </c>
      <c r="G64" s="187">
        <f t="shared" si="28"/>
        <v>82305.14431320982</v>
      </c>
      <c r="H64" s="187">
        <f t="shared" si="28"/>
        <v>175536.41425987653</v>
      </c>
      <c r="I64" s="187">
        <f t="shared" si="28"/>
        <v>44738</v>
      </c>
      <c r="L64" s="157"/>
      <c r="M64" s="163"/>
      <c r="N64" s="169"/>
      <c r="O64" s="169"/>
      <c r="P64" s="169"/>
      <c r="Q64" s="169"/>
      <c r="R64" s="169"/>
      <c r="S64" s="189"/>
    </row>
    <row r="65" spans="2:19" ht="15.75">
      <c r="B65" s="152"/>
      <c r="C65" s="163"/>
      <c r="D65" s="169"/>
      <c r="E65" s="169"/>
      <c r="F65" s="170"/>
      <c r="G65" s="170"/>
      <c r="H65" s="170"/>
      <c r="I65" s="171"/>
      <c r="L65" s="157"/>
      <c r="M65" s="163"/>
      <c r="N65" s="169"/>
      <c r="O65" s="169"/>
      <c r="P65" s="169"/>
      <c r="Q65" s="169"/>
      <c r="R65" s="169"/>
      <c r="S65" s="189"/>
    </row>
    <row r="66" spans="2:19" ht="15.75">
      <c r="B66" s="152"/>
      <c r="C66" s="158" t="s">
        <v>131</v>
      </c>
      <c r="D66" s="190">
        <f aca="true" t="shared" si="29" ref="D66:I66">D46+D55+D60+D64</f>
        <v>1227432.5710883532</v>
      </c>
      <c r="E66" s="190">
        <f t="shared" si="29"/>
        <v>393984.523040156</v>
      </c>
      <c r="F66" s="190">
        <f t="shared" si="29"/>
        <v>81260.80524392694</v>
      </c>
      <c r="G66" s="190">
        <f t="shared" si="29"/>
        <v>115038.14431320982</v>
      </c>
      <c r="H66" s="190">
        <f t="shared" si="29"/>
        <v>208674.91425987653</v>
      </c>
      <c r="I66" s="191">
        <f t="shared" si="29"/>
        <v>78282</v>
      </c>
      <c r="L66" s="157"/>
      <c r="M66" s="163"/>
      <c r="N66" s="169"/>
      <c r="O66" s="169"/>
      <c r="P66" s="169"/>
      <c r="Q66" s="169"/>
      <c r="R66" s="169"/>
      <c r="S66" s="189"/>
    </row>
    <row r="67" spans="2:19" ht="15.75">
      <c r="B67" s="152" t="s">
        <v>102</v>
      </c>
      <c r="C67" s="163" t="s">
        <v>132</v>
      </c>
      <c r="D67" s="170">
        <f aca="true" t="shared" si="30" ref="D67:G67">+E67</f>
        <v>0</v>
      </c>
      <c r="E67" s="170">
        <f t="shared" si="30"/>
        <v>0</v>
      </c>
      <c r="F67" s="170">
        <f t="shared" si="30"/>
        <v>0</v>
      </c>
      <c r="G67" s="170">
        <f t="shared" si="30"/>
        <v>0</v>
      </c>
      <c r="H67" s="170">
        <f>+I67</f>
        <v>0</v>
      </c>
      <c r="I67" s="171">
        <v>0</v>
      </c>
      <c r="L67" s="157"/>
      <c r="M67" s="163"/>
      <c r="N67" s="169"/>
      <c r="O67" s="169"/>
      <c r="P67" s="169"/>
      <c r="Q67" s="169"/>
      <c r="R67" s="169"/>
      <c r="S67" s="189"/>
    </row>
    <row r="68" spans="2:19" ht="16.2" thickBot="1">
      <c r="B68" s="152"/>
      <c r="C68" s="163"/>
      <c r="D68" s="164"/>
      <c r="E68" s="164"/>
      <c r="F68" s="165"/>
      <c r="G68" s="165"/>
      <c r="H68" s="165"/>
      <c r="I68" s="166"/>
      <c r="L68" s="192"/>
      <c r="M68" s="645"/>
      <c r="N68" s="646"/>
      <c r="O68" s="646"/>
      <c r="P68" s="646"/>
      <c r="Q68" s="646"/>
      <c r="R68" s="646"/>
      <c r="S68" s="647"/>
    </row>
    <row r="69" spans="2:19" ht="16.2" thickBot="1">
      <c r="B69" s="193"/>
      <c r="C69" s="194" t="s">
        <v>133</v>
      </c>
      <c r="D69" s="195">
        <f aca="true" t="shared" si="31" ref="D69">D11+D36+D66+D67</f>
        <v>1417466.7380019333</v>
      </c>
      <c r="E69" s="195">
        <f>E11+E36+E66+E67</f>
        <v>566087.0961265757</v>
      </c>
      <c r="F69" s="196">
        <f>F11+F36+F66+F67</f>
        <v>216162.02191059355</v>
      </c>
      <c r="G69" s="196">
        <f>G11+G36+G66+G67</f>
        <v>203376.1819675308</v>
      </c>
      <c r="H69" s="196">
        <f>H11+H36+H66+H67</f>
        <v>273497.91425987653</v>
      </c>
      <c r="I69" s="197">
        <f>+I66+I36+I67</f>
        <v>148846</v>
      </c>
      <c r="L69" s="198"/>
      <c r="M69" s="194" t="s">
        <v>134</v>
      </c>
      <c r="N69" s="195">
        <f aca="true" t="shared" si="32" ref="N69">N25+N28+N31+N50+N53</f>
        <v>1417466.7380019338</v>
      </c>
      <c r="O69" s="195">
        <f>O25+O28+O31+O50+O53</f>
        <v>566087.0961265762</v>
      </c>
      <c r="P69" s="195">
        <f>P25+P28+P31+P50+P53</f>
        <v>216162.02191059367</v>
      </c>
      <c r="Q69" s="195">
        <f>Q25+Q28+Q31+Q50+Q53</f>
        <v>203376.18196753092</v>
      </c>
      <c r="R69" s="195">
        <f>R25+R28+R31+R50+R53</f>
        <v>273497.91425987653</v>
      </c>
      <c r="S69" s="199">
        <f>S25+S28+S31+S50+S53</f>
        <v>148846</v>
      </c>
    </row>
    <row r="70" ht="15.75">
      <c r="H70" s="99" t="s">
        <v>296</v>
      </c>
    </row>
    <row r="71" spans="3:9" ht="15.75">
      <c r="C71" s="200" t="s">
        <v>135</v>
      </c>
      <c r="D71" s="331">
        <f aca="true" t="shared" si="33" ref="D71">+D69-N69</f>
        <v>0</v>
      </c>
      <c r="E71" s="331">
        <f>+E69-O69</f>
        <v>0</v>
      </c>
      <c r="F71" s="331">
        <f>+F69-P69</f>
        <v>0</v>
      </c>
      <c r="G71" s="331">
        <f>+G69-Q69</f>
        <v>0</v>
      </c>
      <c r="H71" s="331">
        <f>+H69-R69</f>
        <v>0</v>
      </c>
      <c r="I71" s="331">
        <f aca="true" t="shared" si="34" ref="I71">+I69-S69</f>
        <v>0</v>
      </c>
    </row>
    <row r="73" ht="15.75">
      <c r="F73" s="549"/>
    </row>
    <row r="74" spans="2:6" ht="55.95" customHeight="1">
      <c r="B74" s="1636" t="s">
        <v>136</v>
      </c>
      <c r="C74" s="1636"/>
      <c r="D74" s="1636"/>
      <c r="E74" s="1636"/>
      <c r="F74" s="1636"/>
    </row>
    <row r="75" spans="2:13" ht="15.75">
      <c r="B75" s="1636"/>
      <c r="C75" s="1636"/>
      <c r="D75" s="1636"/>
      <c r="E75" s="1636"/>
      <c r="F75" s="1636"/>
      <c r="M75" s="549"/>
    </row>
    <row r="76" spans="2:6" ht="15.75">
      <c r="B76" s="1636"/>
      <c r="C76" s="1636"/>
      <c r="D76" s="1636"/>
      <c r="E76" s="1636"/>
      <c r="F76" s="1636"/>
    </row>
    <row r="119" spans="6:11" ht="21">
      <c r="F119" s="201"/>
      <c r="G119" s="201"/>
      <c r="H119" s="201"/>
      <c r="I119" s="201"/>
      <c r="J119" s="202"/>
      <c r="K119" s="202"/>
    </row>
    <row r="133" ht="21">
      <c r="L133" s="202"/>
    </row>
  </sheetData>
  <sheetProtection algorithmName="SHA-512" hashValue="u/g4m7p1WyOdfQAYHQwnjD8umpkY4kLzOlBGWw4STimTrFLPBgL0VJQklerQMcA0M2Pm+S3eixvd9ktw9uZGpg==" saltValue="1w8LGYQtRoaTOoBqfkUnEA==" spinCount="100000" sheet="1" objects="1" scenarios="1"/>
  <mergeCells count="4">
    <mergeCell ref="B2:C2"/>
    <mergeCell ref="B74:F76"/>
    <mergeCell ref="C7:I8"/>
    <mergeCell ref="M7:S8"/>
  </mergeCells>
  <printOptions/>
  <pageMargins left="0" right="0" top="0" bottom="0" header="0" footer="0"/>
  <pageSetup orientation="portrait" paperSize="9"/>
  <ignoredErrors>
    <ignoredError sqref="O46 Q46" formulaRange="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AP161"/>
  <sheetViews>
    <sheetView zoomScale="60" zoomScaleNormal="60" workbookViewId="0" topLeftCell="A1">
      <selection activeCell="H118" sqref="H118"/>
    </sheetView>
  </sheetViews>
  <sheetFormatPr defaultColWidth="10.75390625" defaultRowHeight="15.75" outlineLevelCol="1"/>
  <cols>
    <col min="1" max="1" width="1.00390625" style="2" customWidth="1"/>
    <col min="2" max="2" width="3.25390625" style="2" customWidth="1"/>
    <col min="3" max="3" width="30.75390625" style="2" customWidth="1"/>
    <col min="4" max="4" width="25.75390625" style="81" customWidth="1" outlineLevel="1"/>
    <col min="5" max="5" width="25.75390625" style="2" customWidth="1" outlineLevel="1"/>
    <col min="6" max="6" width="26.75390625" style="2" bestFit="1" customWidth="1" outlineLevel="1"/>
    <col min="7" max="7" width="25.75390625" style="2" customWidth="1" outlineLevel="1"/>
    <col min="8" max="8" width="25.75390625" style="2" customWidth="1"/>
    <col min="9" max="9" width="27.25390625" style="2" customWidth="1"/>
    <col min="10" max="10" width="15.25390625" style="2" bestFit="1" customWidth="1"/>
    <col min="11" max="11" width="26.25390625" style="2" customWidth="1"/>
    <col min="12" max="12" width="15.25390625" style="367" bestFit="1" customWidth="1"/>
    <col min="13" max="13" width="26.25390625" style="2" customWidth="1"/>
    <col min="14" max="14" width="15.25390625" style="2" bestFit="1" customWidth="1"/>
    <col min="15" max="15" width="26.25390625" style="2" customWidth="1"/>
    <col min="16" max="16" width="14.25390625" style="2" bestFit="1" customWidth="1"/>
    <col min="17" max="17" width="26.25390625" style="2" customWidth="1"/>
    <col min="18" max="18" width="14.25390625" style="2" bestFit="1" customWidth="1"/>
    <col min="19" max="19" width="26.25390625" style="2" customWidth="1"/>
    <col min="20" max="20" width="14.25390625" style="2" bestFit="1" customWidth="1"/>
    <col min="21" max="35" width="26.25390625" style="2" customWidth="1"/>
    <col min="36" max="36" width="26.25390625" style="81" customWidth="1"/>
    <col min="37" max="39" width="26.25390625" style="2" customWidth="1"/>
    <col min="40" max="16384" width="10.75390625" style="2" customWidth="1"/>
  </cols>
  <sheetData>
    <row r="2" ht="16.2" thickBot="1"/>
    <row r="3" spans="2:3" ht="16.05" customHeight="1">
      <c r="B3" s="1655" t="s">
        <v>60</v>
      </c>
      <c r="C3" s="1656"/>
    </row>
    <row r="4" spans="2:3" ht="15.75">
      <c r="B4" s="1657"/>
      <c r="C4" s="1658"/>
    </row>
    <row r="5" spans="2:3" ht="16.2" thickBot="1">
      <c r="B5" s="1659"/>
      <c r="C5" s="1660"/>
    </row>
    <row r="7" ht="15.75">
      <c r="B7" s="5" t="s">
        <v>26</v>
      </c>
    </row>
    <row r="8" spans="2:3" ht="15.75">
      <c r="B8" s="135" t="s">
        <v>61</v>
      </c>
      <c r="C8" s="2" t="s">
        <v>62</v>
      </c>
    </row>
    <row r="9" spans="2:3" ht="15.75">
      <c r="B9" s="135" t="s">
        <v>63</v>
      </c>
      <c r="C9" s="2" t="s">
        <v>179</v>
      </c>
    </row>
    <row r="10" spans="2:3" ht="15.75">
      <c r="B10" s="135" t="s">
        <v>230</v>
      </c>
      <c r="C10" s="2" t="s">
        <v>256</v>
      </c>
    </row>
    <row r="11" ht="15.75">
      <c r="B11" s="135"/>
    </row>
    <row r="12" spans="2:11" ht="16.2" thickBot="1">
      <c r="B12" s="5"/>
      <c r="C12" s="499"/>
      <c r="D12" s="500"/>
      <c r="E12" s="499"/>
      <c r="F12" s="499"/>
      <c r="G12" s="499"/>
      <c r="H12" s="499"/>
      <c r="I12" s="499"/>
      <c r="J12" s="499"/>
      <c r="K12" s="499"/>
    </row>
    <row r="13" spans="2:10" ht="24" customHeight="1" thickBot="1">
      <c r="B13" s="5"/>
      <c r="C13" s="1663" t="s">
        <v>440</v>
      </c>
      <c r="D13" s="1664"/>
      <c r="E13" s="1664"/>
      <c r="F13" s="1664"/>
      <c r="G13" s="1664"/>
      <c r="H13" s="1664"/>
      <c r="I13" s="1664"/>
      <c r="J13" s="1665"/>
    </row>
    <row r="14" spans="2:10" ht="16.05" customHeight="1">
      <c r="B14" s="5"/>
      <c r="C14" s="1661" t="s">
        <v>426</v>
      </c>
      <c r="D14" s="1662"/>
      <c r="E14" s="1662"/>
      <c r="F14" s="1662"/>
      <c r="G14" s="1662"/>
      <c r="H14" s="1662"/>
      <c r="I14" s="1662"/>
      <c r="J14" s="1187"/>
    </row>
    <row r="15" spans="2:10" ht="15.75">
      <c r="B15" s="5"/>
      <c r="C15" s="1661"/>
      <c r="D15" s="1662"/>
      <c r="E15" s="1662"/>
      <c r="F15" s="1662"/>
      <c r="G15" s="1662"/>
      <c r="H15" s="1662"/>
      <c r="I15" s="1662"/>
      <c r="J15" s="1187"/>
    </row>
    <row r="16" spans="2:10" ht="15.75">
      <c r="B16" s="5"/>
      <c r="C16" s="1661"/>
      <c r="D16" s="1662"/>
      <c r="E16" s="1662"/>
      <c r="F16" s="1662"/>
      <c r="G16" s="1662"/>
      <c r="H16" s="1662"/>
      <c r="I16" s="1662"/>
      <c r="J16" s="1187"/>
    </row>
    <row r="17" spans="2:10" ht="15.75">
      <c r="B17" s="5"/>
      <c r="C17" s="1661"/>
      <c r="D17" s="1662"/>
      <c r="E17" s="1662"/>
      <c r="F17" s="1662"/>
      <c r="G17" s="1662"/>
      <c r="H17" s="1662"/>
      <c r="I17" s="1662"/>
      <c r="J17" s="1187"/>
    </row>
    <row r="18" spans="2:10" ht="15.75">
      <c r="B18" s="5"/>
      <c r="C18" s="1661"/>
      <c r="D18" s="1662"/>
      <c r="E18" s="1662"/>
      <c r="F18" s="1662"/>
      <c r="G18" s="1662"/>
      <c r="H18" s="1662"/>
      <c r="I18" s="1662"/>
      <c r="J18" s="1187"/>
    </row>
    <row r="19" spans="3:10" ht="19.95" customHeight="1">
      <c r="C19" s="1661"/>
      <c r="D19" s="1662"/>
      <c r="E19" s="1662"/>
      <c r="F19" s="1662"/>
      <c r="G19" s="1662"/>
      <c r="H19" s="1662"/>
      <c r="I19" s="1662"/>
      <c r="J19" s="1187"/>
    </row>
    <row r="20" spans="3:10" ht="16.05" customHeight="1">
      <c r="C20" s="1130" t="s">
        <v>415</v>
      </c>
      <c r="D20" s="1131" t="s">
        <v>229</v>
      </c>
      <c r="E20" s="1132"/>
      <c r="F20" s="1132"/>
      <c r="G20" s="1132"/>
      <c r="H20" s="1132"/>
      <c r="I20" s="1132"/>
      <c r="J20" s="1133"/>
    </row>
    <row r="21" spans="2:10" ht="16.2" thickBot="1">
      <c r="B21" s="5"/>
      <c r="C21" s="1178"/>
      <c r="D21" s="1142"/>
      <c r="E21" s="91"/>
      <c r="F21" s="91"/>
      <c r="G21" s="91"/>
      <c r="H21" s="91"/>
      <c r="I21" s="91"/>
      <c r="J21" s="1179"/>
    </row>
    <row r="22" spans="2:10" ht="24" customHeight="1" thickBot="1">
      <c r="B22" s="5"/>
      <c r="C22" s="1663" t="s">
        <v>441</v>
      </c>
      <c r="D22" s="1664"/>
      <c r="E22" s="1664"/>
      <c r="F22" s="1664"/>
      <c r="G22" s="1664"/>
      <c r="H22" s="1664"/>
      <c r="I22" s="1664"/>
      <c r="J22" s="1665"/>
    </row>
    <row r="23" spans="3:36" s="101" customFormat="1" ht="22.95" customHeight="1" thickBot="1">
      <c r="C23" s="1672" t="s">
        <v>416</v>
      </c>
      <c r="D23" s="1673"/>
      <c r="E23" s="1673"/>
      <c r="F23" s="1673"/>
      <c r="G23" s="1673"/>
      <c r="H23" s="1673"/>
      <c r="I23" s="1673"/>
      <c r="J23" s="1674"/>
      <c r="L23" s="367"/>
      <c r="AJ23" s="367"/>
    </row>
    <row r="24" spans="3:10" ht="16.05" customHeight="1">
      <c r="C24" s="1430"/>
      <c r="D24" s="1431"/>
      <c r="E24" s="1432"/>
      <c r="F24" s="1432"/>
      <c r="G24" s="1432"/>
      <c r="H24" s="1432"/>
      <c r="I24" s="1432"/>
      <c r="J24" s="1433"/>
    </row>
    <row r="25" spans="3:12" ht="16.05" customHeight="1">
      <c r="C25" s="1643" t="s">
        <v>366</v>
      </c>
      <c r="D25" s="1644"/>
      <c r="E25" s="1368"/>
      <c r="F25" s="1132"/>
      <c r="G25" s="1368"/>
      <c r="H25" s="1368"/>
      <c r="I25" s="1368"/>
      <c r="J25" s="92"/>
      <c r="L25" s="2"/>
    </row>
    <row r="26" spans="3:12" ht="16.05" customHeight="1">
      <c r="C26" s="1643"/>
      <c r="D26" s="1644"/>
      <c r="E26" s="1368"/>
      <c r="F26" s="1132"/>
      <c r="G26" s="1368"/>
      <c r="H26" s="1368"/>
      <c r="I26" s="1368"/>
      <c r="J26" s="92"/>
      <c r="L26" s="2"/>
    </row>
    <row r="27" spans="3:12" ht="16.05" customHeight="1">
      <c r="C27" s="1434" t="s">
        <v>408</v>
      </c>
      <c r="D27" s="1368"/>
      <c r="E27" s="1368"/>
      <c r="F27" s="1132"/>
      <c r="G27" s="1368"/>
      <c r="H27" s="1368"/>
      <c r="I27" s="1368"/>
      <c r="J27" s="92"/>
      <c r="L27" s="2"/>
    </row>
    <row r="28" spans="3:12" ht="16.05" customHeight="1">
      <c r="C28" s="1435" t="s">
        <v>409</v>
      </c>
      <c r="D28" s="1100" t="s">
        <v>548</v>
      </c>
      <c r="E28" s="1368"/>
      <c r="F28" s="1132"/>
      <c r="G28" s="1368"/>
      <c r="H28" s="1368"/>
      <c r="I28" s="1368"/>
      <c r="J28" s="92"/>
      <c r="L28" s="2"/>
    </row>
    <row r="29" spans="3:12" ht="16.05" customHeight="1">
      <c r="C29" s="1435" t="s">
        <v>410</v>
      </c>
      <c r="D29" s="1100" t="s">
        <v>411</v>
      </c>
      <c r="E29" s="1368"/>
      <c r="F29" s="1132"/>
      <c r="G29" s="1368"/>
      <c r="H29" s="1368"/>
      <c r="I29" s="1368"/>
      <c r="J29" s="92"/>
      <c r="L29" s="2"/>
    </row>
    <row r="30" spans="3:12" ht="16.05" customHeight="1">
      <c r="C30" s="1435" t="s">
        <v>412</v>
      </c>
      <c r="D30" s="1100" t="s">
        <v>413</v>
      </c>
      <c r="E30" s="1368"/>
      <c r="F30" s="1132"/>
      <c r="G30" s="1368"/>
      <c r="H30" s="1368"/>
      <c r="I30" s="1368"/>
      <c r="J30" s="92"/>
      <c r="L30" s="2"/>
    </row>
    <row r="31" spans="3:12" ht="16.05" customHeight="1">
      <c r="C31" s="1435"/>
      <c r="D31" s="1422"/>
      <c r="E31" s="1368"/>
      <c r="F31" s="1132"/>
      <c r="G31" s="1368"/>
      <c r="H31" s="1368"/>
      <c r="I31" s="1368"/>
      <c r="J31" s="92"/>
      <c r="L31" s="2"/>
    </row>
    <row r="32" spans="3:12" ht="16.05" customHeight="1">
      <c r="C32" s="1436" t="s">
        <v>367</v>
      </c>
      <c r="D32" s="1136" t="s">
        <v>417</v>
      </c>
      <c r="E32" s="1136" t="s">
        <v>414</v>
      </c>
      <c r="F32" s="1429" t="s">
        <v>541</v>
      </c>
      <c r="G32" s="1368"/>
      <c r="H32" s="1368"/>
      <c r="I32" s="1368"/>
      <c r="J32" s="92"/>
      <c r="L32" s="2"/>
    </row>
    <row r="33" spans="3:12" ht="16.05" customHeight="1">
      <c r="C33" s="1437" t="s">
        <v>538</v>
      </c>
      <c r="D33" s="1137">
        <f>+F33/11.5</f>
        <v>1.0921739130434782</v>
      </c>
      <c r="E33" s="1137">
        <f>F33/(847.46/1000)</f>
        <v>14.820758501876195</v>
      </c>
      <c r="F33" s="1429">
        <v>12.56</v>
      </c>
      <c r="G33" s="1368"/>
      <c r="H33" s="1368"/>
      <c r="I33" s="1428"/>
      <c r="J33" s="92"/>
      <c r="L33" s="2"/>
    </row>
    <row r="34" spans="3:12" ht="16.05" customHeight="1">
      <c r="C34" s="1437" t="s">
        <v>539</v>
      </c>
      <c r="D34" s="1137">
        <f>F34/(337.36)</f>
        <v>3.2220773061418067</v>
      </c>
      <c r="E34" s="1137">
        <f>F34/-34.77</f>
        <v>-31.26258268622375</v>
      </c>
      <c r="F34" s="1429">
        <f>1.087*1000</f>
        <v>1087</v>
      </c>
      <c r="G34" s="1368"/>
      <c r="H34" s="1368"/>
      <c r="I34" s="1428"/>
      <c r="J34" s="92"/>
      <c r="L34" s="2"/>
    </row>
    <row r="35" spans="3:12" ht="16.05" customHeight="1">
      <c r="C35" s="1437" t="s">
        <v>540</v>
      </c>
      <c r="D35" s="1137">
        <f>+F35/1.56</f>
        <v>1.8987179487179489</v>
      </c>
      <c r="E35" s="1137">
        <f>F35/0.313</f>
        <v>9.463258785942493</v>
      </c>
      <c r="F35" s="1429">
        <v>2.962</v>
      </c>
      <c r="G35" s="1368"/>
      <c r="H35" s="1368"/>
      <c r="I35" s="1368"/>
      <c r="J35" s="92"/>
      <c r="L35" s="2"/>
    </row>
    <row r="36" spans="3:12" ht="16.05" customHeight="1">
      <c r="C36" s="1438" t="s">
        <v>542</v>
      </c>
      <c r="D36" s="1439">
        <v>5.7</v>
      </c>
      <c r="E36" s="1439">
        <v>14.1</v>
      </c>
      <c r="F36" s="1132"/>
      <c r="G36" s="1368"/>
      <c r="H36" s="1368"/>
      <c r="I36" s="1368"/>
      <c r="J36" s="92"/>
      <c r="L36" s="2"/>
    </row>
    <row r="37" spans="3:12" ht="16.05" customHeight="1">
      <c r="C37" s="1438" t="s">
        <v>543</v>
      </c>
      <c r="D37" s="1439">
        <v>5.78</v>
      </c>
      <c r="E37" s="1439">
        <v>14.98</v>
      </c>
      <c r="F37" s="1132"/>
      <c r="G37" s="1368"/>
      <c r="H37" s="1368"/>
      <c r="I37" s="1368"/>
      <c r="J37" s="92"/>
      <c r="L37" s="2"/>
    </row>
    <row r="38" spans="3:12" ht="16.05" customHeight="1">
      <c r="C38" s="1438" t="s">
        <v>540</v>
      </c>
      <c r="D38" s="1439">
        <v>2.51</v>
      </c>
      <c r="E38" s="1439">
        <v>12.55</v>
      </c>
      <c r="F38" s="1132"/>
      <c r="G38" s="1368"/>
      <c r="H38" s="1368"/>
      <c r="I38" s="1368"/>
      <c r="J38" s="92"/>
      <c r="L38" s="2"/>
    </row>
    <row r="39" spans="3:12" ht="16.05" customHeight="1">
      <c r="C39" s="1438" t="s">
        <v>544</v>
      </c>
      <c r="D39" s="1439">
        <v>1.51</v>
      </c>
      <c r="E39" s="1439">
        <v>9.79</v>
      </c>
      <c r="F39" s="1132"/>
      <c r="G39" s="1368"/>
      <c r="H39" s="1368"/>
      <c r="I39" s="1368"/>
      <c r="J39" s="92"/>
      <c r="L39" s="2"/>
    </row>
    <row r="40" spans="3:12" ht="16.05" customHeight="1">
      <c r="C40" s="1438" t="s">
        <v>545</v>
      </c>
      <c r="D40" s="1439">
        <v>2.3</v>
      </c>
      <c r="E40" s="1439">
        <v>11.4</v>
      </c>
      <c r="F40" s="1132"/>
      <c r="G40" s="1368"/>
      <c r="H40" s="1368"/>
      <c r="I40" s="1368"/>
      <c r="J40" s="92"/>
      <c r="L40" s="2"/>
    </row>
    <row r="41" spans="3:12" ht="16.05" customHeight="1">
      <c r="C41" s="638"/>
      <c r="D41" s="1439"/>
      <c r="E41" s="1439"/>
      <c r="F41" s="1132"/>
      <c r="G41" s="1368"/>
      <c r="H41" s="1368"/>
      <c r="I41" s="1368"/>
      <c r="J41" s="92"/>
      <c r="L41" s="2"/>
    </row>
    <row r="42" spans="3:12" ht="16.05" customHeight="1">
      <c r="C42" s="1437"/>
      <c r="D42" s="1137"/>
      <c r="E42" s="1137"/>
      <c r="F42" s="1132"/>
      <c r="G42" s="1368"/>
      <c r="H42" s="1368"/>
      <c r="I42" s="1368"/>
      <c r="J42" s="92"/>
      <c r="L42" s="2"/>
    </row>
    <row r="43" spans="3:12" ht="16.05" customHeight="1">
      <c r="C43" s="1437"/>
      <c r="D43" s="1137"/>
      <c r="E43" s="1137"/>
      <c r="F43" s="1132"/>
      <c r="G43" s="1368"/>
      <c r="H43" s="1368"/>
      <c r="I43" s="1368"/>
      <c r="J43" s="92"/>
      <c r="L43" s="2"/>
    </row>
    <row r="44" spans="3:10" ht="16.05" customHeight="1">
      <c r="C44" s="1437"/>
      <c r="D44" s="1137"/>
      <c r="E44" s="1137"/>
      <c r="F44" s="1132"/>
      <c r="G44" s="1132"/>
      <c r="H44" s="1132"/>
      <c r="I44" s="1132"/>
      <c r="J44" s="1440"/>
    </row>
    <row r="45" spans="3:10" ht="16.05" customHeight="1">
      <c r="C45" s="1437"/>
      <c r="D45" s="1137"/>
      <c r="E45" s="1137"/>
      <c r="F45" s="1132"/>
      <c r="G45" s="1132"/>
      <c r="H45" s="1132"/>
      <c r="I45" s="1132"/>
      <c r="J45" s="1440"/>
    </row>
    <row r="46" spans="3:10" ht="16.05" customHeight="1">
      <c r="C46" s="1441" t="s">
        <v>234</v>
      </c>
      <c r="D46" s="1103">
        <f>+MEDIAN(D33:D45)</f>
        <v>2.405</v>
      </c>
      <c r="E46" s="1104">
        <f>+MEDIAN(E33:E45)</f>
        <v>11.975000000000001</v>
      </c>
      <c r="F46" s="1132"/>
      <c r="G46" s="1132"/>
      <c r="H46" s="1132"/>
      <c r="I46" s="1132"/>
      <c r="J46" s="1440"/>
    </row>
    <row r="47" spans="3:10" ht="16.05" customHeight="1">
      <c r="C47" s="1442" t="s">
        <v>420</v>
      </c>
      <c r="D47" s="1105">
        <v>4.72</v>
      </c>
      <c r="E47" s="1106">
        <v>21.85</v>
      </c>
      <c r="F47" s="1132"/>
      <c r="G47" s="1132"/>
      <c r="H47" s="1132"/>
      <c r="I47" s="1132"/>
      <c r="J47" s="1440"/>
    </row>
    <row r="48" spans="3:10" ht="16.05" customHeight="1">
      <c r="C48" s="1443"/>
      <c r="D48" s="1101"/>
      <c r="E48" s="1102"/>
      <c r="F48" s="1132"/>
      <c r="G48" s="1132"/>
      <c r="H48" s="1132"/>
      <c r="I48" s="1132"/>
      <c r="J48" s="1440"/>
    </row>
    <row r="49" spans="3:10" ht="15.75">
      <c r="C49" s="1675" t="s">
        <v>419</v>
      </c>
      <c r="D49" s="1676"/>
      <c r="E49" s="1676"/>
      <c r="F49" s="1132"/>
      <c r="G49" s="1132"/>
      <c r="H49" s="1132"/>
      <c r="I49" s="1132"/>
      <c r="J49" s="1440"/>
    </row>
    <row r="50" spans="3:10" ht="16.05" customHeight="1">
      <c r="C50" s="90"/>
      <c r="D50" s="1131"/>
      <c r="E50" s="1132"/>
      <c r="F50" s="1132"/>
      <c r="G50" s="1132"/>
      <c r="H50" s="1132"/>
      <c r="I50" s="1132"/>
      <c r="J50" s="1440"/>
    </row>
    <row r="51" spans="3:10" ht="16.05" customHeight="1">
      <c r="C51" s="1643" t="s">
        <v>362</v>
      </c>
      <c r="D51" s="1644"/>
      <c r="E51" s="1138"/>
      <c r="F51" s="1368"/>
      <c r="G51" s="1368"/>
      <c r="H51" s="1368"/>
      <c r="I51" s="1368"/>
      <c r="J51" s="92"/>
    </row>
    <row r="52" spans="3:10" ht="16.05" customHeight="1">
      <c r="C52" s="1643"/>
      <c r="D52" s="1644"/>
      <c r="E52" s="1138"/>
      <c r="F52" s="1368"/>
      <c r="G52" s="1368"/>
      <c r="H52" s="1368"/>
      <c r="I52" s="1368"/>
      <c r="J52" s="92"/>
    </row>
    <row r="53" spans="3:10" ht="16.05" customHeight="1">
      <c r="C53" s="1444" t="s">
        <v>363</v>
      </c>
      <c r="D53" s="1140"/>
      <c r="E53" s="1138"/>
      <c r="F53" s="1368"/>
      <c r="G53" s="1368"/>
      <c r="H53" s="1368"/>
      <c r="I53" s="1368"/>
      <c r="J53" s="92"/>
    </row>
    <row r="54" spans="3:10" ht="16.05" customHeight="1">
      <c r="C54" s="1445" t="s">
        <v>418</v>
      </c>
      <c r="D54" s="1142"/>
      <c r="E54" s="1143">
        <f>+Dashboard!AB17</f>
        <v>3352489.1999999997</v>
      </c>
      <c r="F54" s="1368"/>
      <c r="G54" s="1368"/>
      <c r="H54" s="1368"/>
      <c r="I54" s="1368"/>
      <c r="J54" s="92"/>
    </row>
    <row r="55" spans="3:10" ht="16.05" customHeight="1">
      <c r="C55" s="1445" t="s">
        <v>3</v>
      </c>
      <c r="D55" s="1142"/>
      <c r="E55" s="1143">
        <f>+Dashboard!AB36</f>
        <v>996994.4526814818</v>
      </c>
      <c r="F55" s="214"/>
      <c r="G55" s="214"/>
      <c r="H55" s="214"/>
      <c r="I55" s="214"/>
      <c r="J55" s="1446"/>
    </row>
    <row r="56" spans="3:10" ht="16.05" customHeight="1">
      <c r="C56" s="1445"/>
      <c r="D56" s="1142"/>
      <c r="E56" s="1143"/>
      <c r="F56" s="214"/>
      <c r="G56" s="214"/>
      <c r="H56" s="214"/>
      <c r="I56" s="214"/>
      <c r="J56" s="1446"/>
    </row>
    <row r="57" spans="3:10" ht="16.05" customHeight="1">
      <c r="C57" s="1445" t="s">
        <v>364</v>
      </c>
      <c r="D57" s="1142"/>
      <c r="E57" s="1143">
        <f>+E54*D46</f>
        <v>8062736.525999999</v>
      </c>
      <c r="F57" s="1368"/>
      <c r="G57" s="1368"/>
      <c r="H57" s="1368"/>
      <c r="I57" s="1368"/>
      <c r="J57" s="92"/>
    </row>
    <row r="58" spans="3:10" ht="16.05" customHeight="1">
      <c r="C58" s="1445" t="s">
        <v>64</v>
      </c>
      <c r="D58" s="1142"/>
      <c r="E58" s="1143">
        <f>E55*E46</f>
        <v>11939008.570860747</v>
      </c>
      <c r="F58" s="1368"/>
      <c r="G58" s="1368"/>
      <c r="H58" s="1368"/>
      <c r="I58" s="1368"/>
      <c r="J58" s="92"/>
    </row>
    <row r="59" spans="3:10" ht="16.05" customHeight="1">
      <c r="C59" s="90"/>
      <c r="D59" s="1142"/>
      <c r="E59" s="1143"/>
      <c r="F59" s="1368"/>
      <c r="G59" s="1368"/>
      <c r="H59" s="1368"/>
      <c r="I59" s="1368"/>
      <c r="J59" s="92"/>
    </row>
    <row r="60" spans="3:10" ht="16.05" customHeight="1">
      <c r="C60" s="1447" t="s">
        <v>231</v>
      </c>
      <c r="D60" s="501"/>
      <c r="E60" s="136">
        <f>+AVERAGE(E57:E58)</f>
        <v>10000872.548430372</v>
      </c>
      <c r="F60" s="1368"/>
      <c r="G60" s="1368"/>
      <c r="H60" s="1368"/>
      <c r="I60" s="1368"/>
      <c r="J60" s="92"/>
    </row>
    <row r="61" spans="3:10" ht="16.05" customHeight="1">
      <c r="C61" s="90"/>
      <c r="D61" s="1142"/>
      <c r="E61" s="1138"/>
      <c r="F61" s="1368"/>
      <c r="G61" s="1368"/>
      <c r="H61" s="1368"/>
      <c r="I61" s="1368"/>
      <c r="J61" s="92"/>
    </row>
    <row r="62" spans="3:10" ht="16.05" customHeight="1">
      <c r="C62" s="90" t="s">
        <v>232</v>
      </c>
      <c r="D62" s="1145">
        <f>+AVERAGE(E76,I76)</f>
        <v>0.1975626639560616</v>
      </c>
      <c r="E62" s="1143">
        <f>+E60*D62</f>
        <v>1975799.0225529508</v>
      </c>
      <c r="F62" s="1368"/>
      <c r="G62" s="1368"/>
      <c r="H62" s="1368"/>
      <c r="I62" s="1368"/>
      <c r="J62" s="92"/>
    </row>
    <row r="63" spans="3:10" ht="16.05" customHeight="1">
      <c r="C63" s="90" t="s">
        <v>233</v>
      </c>
      <c r="D63" s="1109">
        <v>0.03</v>
      </c>
      <c r="E63" s="1143">
        <f>+E60*D63</f>
        <v>300026.17645291117</v>
      </c>
      <c r="F63" s="1368"/>
      <c r="G63" s="1368"/>
      <c r="H63" s="1368"/>
      <c r="I63" s="1368"/>
      <c r="J63" s="92"/>
    </row>
    <row r="64" spans="3:10" ht="16.05" customHeight="1">
      <c r="C64" s="90"/>
      <c r="D64" s="1145"/>
      <c r="E64" s="1143"/>
      <c r="F64" s="1368"/>
      <c r="G64" s="1368"/>
      <c r="H64" s="1368"/>
      <c r="I64" s="1368"/>
      <c r="J64" s="92"/>
    </row>
    <row r="65" spans="3:10" ht="16.05" customHeight="1">
      <c r="C65" s="1448" t="s">
        <v>365</v>
      </c>
      <c r="D65" s="1107"/>
      <c r="E65" s="1108">
        <f>+E60-E62-E63-E64</f>
        <v>7725047.34942451</v>
      </c>
      <c r="F65" s="1368"/>
      <c r="G65" s="1368"/>
      <c r="H65" s="1368"/>
      <c r="I65" s="1368"/>
      <c r="J65" s="92"/>
    </row>
    <row r="66" spans="3:10" ht="16.05" customHeight="1">
      <c r="C66" s="90"/>
      <c r="D66" s="1142"/>
      <c r="E66" s="1138"/>
      <c r="F66" s="1368"/>
      <c r="G66" s="1368"/>
      <c r="H66" s="1368"/>
      <c r="I66" s="1368"/>
      <c r="J66" s="92"/>
    </row>
    <row r="67" spans="3:42" s="101" customFormat="1" ht="16.05" customHeight="1">
      <c r="C67" s="1643" t="s">
        <v>368</v>
      </c>
      <c r="D67" s="1644"/>
      <c r="E67" s="1102"/>
      <c r="F67" s="214"/>
      <c r="G67" s="214"/>
      <c r="H67" s="214"/>
      <c r="I67" s="214"/>
      <c r="J67" s="1446"/>
      <c r="K67" s="1098"/>
      <c r="L67" s="1098"/>
      <c r="M67" s="1098"/>
      <c r="N67" s="1098"/>
      <c r="O67" s="1098"/>
      <c r="P67" s="1098"/>
      <c r="Q67" s="1098"/>
      <c r="R67" s="1098"/>
      <c r="S67" s="1098"/>
      <c r="T67" s="1098"/>
      <c r="U67" s="1098"/>
      <c r="V67" s="1098"/>
      <c r="W67" s="1098"/>
      <c r="X67" s="1098"/>
      <c r="Y67" s="1098"/>
      <c r="Z67" s="1098"/>
      <c r="AA67" s="1098"/>
      <c r="AB67" s="1098"/>
      <c r="AF67" s="113"/>
      <c r="AG67" s="113"/>
      <c r="AH67" s="2"/>
      <c r="AI67" s="81"/>
      <c r="AJ67" s="2"/>
      <c r="AK67" s="2"/>
      <c r="AL67" s="2"/>
      <c r="AM67" s="2"/>
      <c r="AN67" s="113"/>
      <c r="AO67" s="113"/>
      <c r="AP67" s="113"/>
    </row>
    <row r="68" spans="3:42" s="101" customFormat="1" ht="15.75">
      <c r="C68" s="1643"/>
      <c r="D68" s="1644"/>
      <c r="E68" s="1102"/>
      <c r="F68" s="214"/>
      <c r="G68" s="214"/>
      <c r="H68" s="214"/>
      <c r="I68" s="214"/>
      <c r="J68" s="1446"/>
      <c r="K68" s="1098"/>
      <c r="L68" s="1098"/>
      <c r="M68" s="1098"/>
      <c r="N68" s="1098"/>
      <c r="O68" s="1098"/>
      <c r="P68" s="1098"/>
      <c r="Q68" s="1098"/>
      <c r="R68" s="1098"/>
      <c r="S68" s="1098"/>
      <c r="T68" s="1098"/>
      <c r="U68" s="1098"/>
      <c r="V68" s="1098"/>
      <c r="W68" s="1098"/>
      <c r="X68" s="1098"/>
      <c r="Y68" s="1098"/>
      <c r="Z68" s="1098"/>
      <c r="AA68" s="1098"/>
      <c r="AB68" s="1098"/>
      <c r="AF68" s="113"/>
      <c r="AG68" s="113"/>
      <c r="AH68" s="2"/>
      <c r="AI68" s="81"/>
      <c r="AJ68" s="2"/>
      <c r="AK68" s="2"/>
      <c r="AL68" s="2"/>
      <c r="AM68" s="2"/>
      <c r="AN68" s="113"/>
      <c r="AO68" s="113"/>
      <c r="AP68" s="113"/>
    </row>
    <row r="69" spans="3:39" ht="15" customHeight="1">
      <c r="C69" s="1449" t="s">
        <v>369</v>
      </c>
      <c r="D69" s="1146"/>
      <c r="E69" s="1368"/>
      <c r="F69" s="1368"/>
      <c r="G69" s="1147" t="s">
        <v>370</v>
      </c>
      <c r="H69" s="1148"/>
      <c r="I69" s="1148"/>
      <c r="J69" s="1450"/>
      <c r="K69" s="1098"/>
      <c r="L69" s="1030"/>
      <c r="M69" s="1030"/>
      <c r="N69" s="1030"/>
      <c r="O69" s="1030"/>
      <c r="P69" s="1030"/>
      <c r="Q69" s="1030"/>
      <c r="R69" s="1030"/>
      <c r="S69" s="1030"/>
      <c r="T69" s="1030"/>
      <c r="U69" s="1030"/>
      <c r="V69" s="1030"/>
      <c r="W69" s="1030"/>
      <c r="X69" s="1030"/>
      <c r="Y69" s="1030"/>
      <c r="Z69" s="1030"/>
      <c r="AA69" s="1030"/>
      <c r="AB69" s="1030"/>
      <c r="AC69" s="1030"/>
      <c r="AH69" s="5"/>
      <c r="AI69" s="1099"/>
      <c r="AJ69" s="5"/>
      <c r="AK69" s="5"/>
      <c r="AL69" s="5"/>
      <c r="AM69" s="5"/>
    </row>
    <row r="70" spans="3:36" ht="15" customHeight="1">
      <c r="C70" s="1451" t="s">
        <v>371</v>
      </c>
      <c r="D70" s="1149"/>
      <c r="E70" s="1150"/>
      <c r="F70" s="1368"/>
      <c r="G70" s="1151" t="s">
        <v>371</v>
      </c>
      <c r="H70" s="214"/>
      <c r="I70" s="214"/>
      <c r="J70" s="1446"/>
      <c r="K70" s="1098"/>
      <c r="L70" s="1030"/>
      <c r="M70" s="1030"/>
      <c r="N70" s="1030"/>
      <c r="O70" s="1030"/>
      <c r="P70" s="1030"/>
      <c r="Q70" s="1030"/>
      <c r="R70" s="1030"/>
      <c r="S70" s="1030"/>
      <c r="T70" s="1030"/>
      <c r="U70" s="1030"/>
      <c r="V70" s="1030"/>
      <c r="W70" s="1030"/>
      <c r="X70" s="1030"/>
      <c r="Y70" s="1030"/>
      <c r="Z70" s="1030"/>
      <c r="AA70" s="1030"/>
      <c r="AB70" s="1030"/>
      <c r="AC70" s="1030"/>
      <c r="AE70" s="1031"/>
      <c r="AI70" s="81"/>
      <c r="AJ70" s="2"/>
    </row>
    <row r="71" spans="3:36" ht="15" customHeight="1">
      <c r="C71" s="1452" t="s">
        <v>372</v>
      </c>
      <c r="D71" s="1368"/>
      <c r="E71" s="1032">
        <f>+E54/1000000</f>
        <v>3.3524891999999995</v>
      </c>
      <c r="F71" s="1368"/>
      <c r="G71" s="1152" t="s">
        <v>372</v>
      </c>
      <c r="H71" s="1153"/>
      <c r="I71" s="1032">
        <f>+E54/1000000</f>
        <v>3.3524891999999995</v>
      </c>
      <c r="J71" s="1453"/>
      <c r="K71" s="1098"/>
      <c r="L71" s="1030"/>
      <c r="M71" s="1030"/>
      <c r="N71" s="1030"/>
      <c r="O71" s="1030"/>
      <c r="P71" s="1030"/>
      <c r="Q71" s="1030"/>
      <c r="R71" s="1030"/>
      <c r="S71" s="1030"/>
      <c r="T71" s="1030"/>
      <c r="U71" s="1030"/>
      <c r="V71" s="1030"/>
      <c r="W71" s="1030"/>
      <c r="X71" s="1030"/>
      <c r="Y71" s="1030"/>
      <c r="Z71" s="1030"/>
      <c r="AA71" s="1030"/>
      <c r="AB71" s="1030"/>
      <c r="AC71" s="1030"/>
      <c r="AI71" s="81"/>
      <c r="AJ71" s="2"/>
    </row>
    <row r="72" spans="3:36" ht="15" customHeight="1">
      <c r="C72" s="1454" t="s">
        <v>373</v>
      </c>
      <c r="D72" s="1368"/>
      <c r="E72" s="1033">
        <v>0.25</v>
      </c>
      <c r="F72" s="1368"/>
      <c r="G72" s="1152" t="s">
        <v>374</v>
      </c>
      <c r="H72" s="1153"/>
      <c r="I72" s="1048">
        <f>+Dashboard!AB74/E60</f>
        <v>0.11945953368597426</v>
      </c>
      <c r="J72" s="1453"/>
      <c r="K72" s="1098"/>
      <c r="L72" s="1030"/>
      <c r="M72" s="1030"/>
      <c r="N72" s="1030"/>
      <c r="O72" s="1030"/>
      <c r="P72" s="1030"/>
      <c r="Q72" s="1030"/>
      <c r="R72" s="1030"/>
      <c r="S72" s="1030"/>
      <c r="T72" s="1030"/>
      <c r="U72" s="1030"/>
      <c r="V72" s="1030"/>
      <c r="W72" s="1030"/>
      <c r="X72" s="1030"/>
      <c r="Y72" s="1030"/>
      <c r="Z72" s="1030"/>
      <c r="AA72" s="1030"/>
      <c r="AB72" s="1030"/>
      <c r="AC72" s="1030"/>
      <c r="AI72" s="81"/>
      <c r="AJ72" s="2"/>
    </row>
    <row r="73" spans="3:36" ht="15" customHeight="1">
      <c r="C73" s="1454" t="s">
        <v>375</v>
      </c>
      <c r="D73" s="1368"/>
      <c r="E73" s="1034">
        <v>1</v>
      </c>
      <c r="F73" s="1368"/>
      <c r="G73" s="1152" t="s">
        <v>376</v>
      </c>
      <c r="H73" s="1368"/>
      <c r="I73" s="1034">
        <v>0</v>
      </c>
      <c r="J73" s="1453"/>
      <c r="K73" s="1098"/>
      <c r="L73" s="1030"/>
      <c r="M73" s="1030"/>
      <c r="N73" s="1030"/>
      <c r="O73" s="1030"/>
      <c r="P73" s="1030"/>
      <c r="Q73" s="1030"/>
      <c r="R73" s="1030"/>
      <c r="S73" s="1030"/>
      <c r="T73" s="1030"/>
      <c r="U73" s="1030"/>
      <c r="V73" s="1030"/>
      <c r="W73" s="1030"/>
      <c r="X73" s="1030"/>
      <c r="Y73" s="1030"/>
      <c r="Z73" s="1030"/>
      <c r="AA73" s="1030"/>
      <c r="AB73" s="1030"/>
      <c r="AC73" s="1030"/>
      <c r="AI73" s="81"/>
      <c r="AJ73" s="2"/>
    </row>
    <row r="74" spans="3:36" ht="15" customHeight="1">
      <c r="C74" s="1454" t="s">
        <v>377</v>
      </c>
      <c r="D74" s="1368"/>
      <c r="E74" s="1035">
        <v>1</v>
      </c>
      <c r="F74" s="1368"/>
      <c r="G74" s="1152" t="s">
        <v>377</v>
      </c>
      <c r="H74" s="1153"/>
      <c r="I74" s="1035">
        <v>1</v>
      </c>
      <c r="J74" s="1453"/>
      <c r="K74" s="1098"/>
      <c r="L74" s="1030"/>
      <c r="M74" s="1030"/>
      <c r="N74" s="1030"/>
      <c r="O74" s="1036"/>
      <c r="P74" s="1030"/>
      <c r="Q74" s="1030"/>
      <c r="R74" s="1030"/>
      <c r="S74" s="1030"/>
      <c r="T74" s="1030"/>
      <c r="U74" s="1030"/>
      <c r="V74" s="1030"/>
      <c r="W74" s="1030"/>
      <c r="X74" s="1030"/>
      <c r="Y74" s="1030"/>
      <c r="Z74" s="1030"/>
      <c r="AA74" s="1030"/>
      <c r="AB74" s="1030"/>
      <c r="AC74" s="1030"/>
      <c r="AI74" s="81"/>
      <c r="AJ74" s="2"/>
    </row>
    <row r="75" spans="3:36" ht="15" customHeight="1" thickBot="1">
      <c r="C75" s="1451" t="s">
        <v>378</v>
      </c>
      <c r="D75" s="1368"/>
      <c r="E75" s="1154"/>
      <c r="F75" s="1368"/>
      <c r="G75" s="1151" t="s">
        <v>378</v>
      </c>
      <c r="H75" s="1153"/>
      <c r="I75" s="1155"/>
      <c r="J75" s="1453"/>
      <c r="K75" s="1098"/>
      <c r="L75" s="1030"/>
      <c r="M75" s="1030"/>
      <c r="N75" s="1030"/>
      <c r="O75" s="1030"/>
      <c r="P75" s="1036"/>
      <c r="Q75" s="1030"/>
      <c r="R75" s="1030"/>
      <c r="S75" s="1030"/>
      <c r="T75" s="1030"/>
      <c r="U75" s="1030"/>
      <c r="V75" s="1030"/>
      <c r="W75" s="1030"/>
      <c r="X75" s="1030"/>
      <c r="Y75" s="1030"/>
      <c r="Z75" s="1030"/>
      <c r="AA75" s="1030"/>
      <c r="AB75" s="1030"/>
      <c r="AC75" s="1030"/>
      <c r="AI75" s="81"/>
      <c r="AJ75" s="2"/>
    </row>
    <row r="76" spans="3:36" ht="15" customHeight="1" thickBot="1">
      <c r="C76" s="1452" t="s">
        <v>379</v>
      </c>
      <c r="D76" s="1368"/>
      <c r="E76" s="1037">
        <f>0.25-((100-EXP(4.33+0.036*LN(10)-0.142*LN(E73*100)+0.174*1))/100-(100-EXP(4.33+0.036*LN(E71)-0.142*LN(E73*100)+0.174*E74))/100)</f>
        <v>0.2696980273034212</v>
      </c>
      <c r="F76" s="1368"/>
      <c r="G76" s="1156" t="s">
        <v>379</v>
      </c>
      <c r="H76" s="1153"/>
      <c r="I76" s="1037">
        <f>0.145-0.0022*LN(I71)-0.015*I74-0.016*I72-0.11*I73</f>
        <v>0.12542730060870202</v>
      </c>
      <c r="J76" s="1453"/>
      <c r="K76" s="1098"/>
      <c r="L76" s="1030"/>
      <c r="M76" s="1030"/>
      <c r="N76" s="1030"/>
      <c r="O76" s="1030"/>
      <c r="P76" s="1038"/>
      <c r="Q76" s="1036"/>
      <c r="R76" s="1030"/>
      <c r="S76" s="1030"/>
      <c r="T76" s="1030"/>
      <c r="U76" s="1030"/>
      <c r="V76" s="1030"/>
      <c r="W76" s="1030"/>
      <c r="X76" s="1030"/>
      <c r="Y76" s="1030"/>
      <c r="Z76" s="1030"/>
      <c r="AA76" s="1030"/>
      <c r="AB76" s="1030"/>
      <c r="AC76" s="1030"/>
      <c r="AI76" s="81"/>
      <c r="AJ76" s="2"/>
    </row>
    <row r="77" spans="3:36" ht="15" customHeight="1">
      <c r="C77" s="90"/>
      <c r="D77" s="1142"/>
      <c r="E77" s="1368"/>
      <c r="F77" s="1368"/>
      <c r="G77" s="1677"/>
      <c r="H77" s="1677"/>
      <c r="I77" s="1368"/>
      <c r="J77" s="92"/>
      <c r="K77" s="1098"/>
      <c r="L77" s="1030"/>
      <c r="M77" s="1030"/>
      <c r="N77" s="1030"/>
      <c r="O77" s="1030"/>
      <c r="P77" s="1038"/>
      <c r="Q77" s="1030"/>
      <c r="R77" s="1030"/>
      <c r="S77" s="1036"/>
      <c r="T77" s="1030"/>
      <c r="U77" s="1030"/>
      <c r="V77" s="1030"/>
      <c r="W77" s="1030"/>
      <c r="X77" s="1030"/>
      <c r="Y77" s="1030"/>
      <c r="Z77" s="1030"/>
      <c r="AA77" s="1030"/>
      <c r="AB77" s="1030"/>
      <c r="AC77" s="1030"/>
      <c r="AI77" s="81"/>
      <c r="AJ77" s="2"/>
    </row>
    <row r="78" spans="3:10" ht="16.05" customHeight="1" thickBot="1">
      <c r="C78" s="1455"/>
      <c r="D78" s="1456"/>
      <c r="E78" s="1457"/>
      <c r="F78" s="1457"/>
      <c r="G78" s="1457"/>
      <c r="H78" s="1457"/>
      <c r="I78" s="1457"/>
      <c r="J78" s="1458"/>
    </row>
    <row r="79" spans="3:36" s="101" customFormat="1" ht="22.95" customHeight="1" thickBot="1">
      <c r="C79" s="1649" t="s">
        <v>421</v>
      </c>
      <c r="D79" s="1650"/>
      <c r="E79" s="1650"/>
      <c r="F79" s="1650"/>
      <c r="G79" s="1650"/>
      <c r="H79" s="1650"/>
      <c r="I79" s="1650"/>
      <c r="J79" s="1651"/>
      <c r="L79" s="367"/>
      <c r="AJ79" s="367"/>
    </row>
    <row r="80" spans="3:10" ht="16.05" customHeight="1">
      <c r="C80" s="1130"/>
      <c r="D80" s="1131"/>
      <c r="E80" s="1132"/>
      <c r="F80" s="1132"/>
      <c r="G80" s="1132"/>
      <c r="H80" s="1132"/>
      <c r="I80" s="1132"/>
      <c r="J80" s="1133"/>
    </row>
    <row r="81" spans="3:12" ht="16.05" customHeight="1">
      <c r="C81" s="1648" t="s">
        <v>422</v>
      </c>
      <c r="D81" s="1644"/>
      <c r="E81" s="91"/>
      <c r="F81" s="91"/>
      <c r="G81" s="91"/>
      <c r="H81" s="91"/>
      <c r="I81" s="91"/>
      <c r="J81" s="1134"/>
      <c r="L81" s="2"/>
    </row>
    <row r="82" spans="3:12" ht="16.05" customHeight="1">
      <c r="C82" s="1648"/>
      <c r="D82" s="1644"/>
      <c r="E82" s="91"/>
      <c r="F82" s="91"/>
      <c r="G82" s="91"/>
      <c r="H82" s="91"/>
      <c r="I82" s="91"/>
      <c r="J82" s="1134"/>
      <c r="L82" s="2"/>
    </row>
    <row r="83" spans="3:10" ht="16.05" customHeight="1">
      <c r="C83" s="1157">
        <f>+E83</f>
        <v>0.57</v>
      </c>
      <c r="D83" s="1039" t="s">
        <v>380</v>
      </c>
      <c r="E83" s="1040">
        <v>0.57</v>
      </c>
      <c r="F83" s="1041" t="s">
        <v>381</v>
      </c>
      <c r="G83" s="1158"/>
      <c r="H83" s="1132"/>
      <c r="I83" s="1132"/>
      <c r="J83" s="1133"/>
    </row>
    <row r="84" spans="3:10" ht="16.05" customHeight="1">
      <c r="C84" s="1666">
        <f>+E84+E85</f>
        <v>0.22</v>
      </c>
      <c r="D84" s="1668" t="s">
        <v>382</v>
      </c>
      <c r="E84" s="1042">
        <v>0.13</v>
      </c>
      <c r="F84" s="1670" t="s">
        <v>383</v>
      </c>
      <c r="G84" s="1158"/>
      <c r="H84" s="1132"/>
      <c r="I84" s="1132"/>
      <c r="J84" s="1133"/>
    </row>
    <row r="85" spans="3:10" ht="16.05" customHeight="1">
      <c r="C85" s="1667"/>
      <c r="D85" s="1669"/>
      <c r="E85" s="1043">
        <v>0.09</v>
      </c>
      <c r="F85" s="1671"/>
      <c r="G85" s="1158"/>
      <c r="H85" s="1132"/>
      <c r="I85" s="1132"/>
      <c r="J85" s="1133"/>
    </row>
    <row r="86" spans="3:10" ht="16.05" customHeight="1">
      <c r="C86" s="1666">
        <f>+E86+E87</f>
        <v>0.21000000000000002</v>
      </c>
      <c r="D86" s="1668" t="s">
        <v>384</v>
      </c>
      <c r="E86" s="1042">
        <v>0.17</v>
      </c>
      <c r="F86" s="1044" t="s">
        <v>385</v>
      </c>
      <c r="G86" s="1158"/>
      <c r="H86" s="1132"/>
      <c r="I86" s="1132"/>
      <c r="J86" s="1133"/>
    </row>
    <row r="87" spans="3:10" ht="16.05" customHeight="1">
      <c r="C87" s="1667"/>
      <c r="D87" s="1669"/>
      <c r="E87" s="1043">
        <v>0.04</v>
      </c>
      <c r="F87" s="1045" t="s">
        <v>386</v>
      </c>
      <c r="G87" s="1158"/>
      <c r="H87" s="1132"/>
      <c r="I87" s="1132"/>
      <c r="J87" s="1133"/>
    </row>
    <row r="88" spans="3:10" ht="16.05" customHeight="1">
      <c r="C88" s="1159" t="s">
        <v>425</v>
      </c>
      <c r="D88" s="1160"/>
      <c r="E88" s="1160"/>
      <c r="F88" s="1160"/>
      <c r="G88" s="1158"/>
      <c r="H88" s="1132"/>
      <c r="I88" s="1132"/>
      <c r="J88" s="1133"/>
    </row>
    <row r="89" spans="3:10" ht="16.05" customHeight="1">
      <c r="C89" s="1161"/>
      <c r="D89" s="91"/>
      <c r="E89" s="91"/>
      <c r="F89" s="91"/>
      <c r="G89" s="1158"/>
      <c r="H89" s="1132"/>
      <c r="I89" s="1132"/>
      <c r="J89" s="1133"/>
    </row>
    <row r="90" spans="3:12" ht="16.05" customHeight="1">
      <c r="C90" s="1648" t="s">
        <v>432</v>
      </c>
      <c r="D90" s="1644"/>
      <c r="E90" s="91"/>
      <c r="F90" s="91"/>
      <c r="G90" s="91"/>
      <c r="H90" s="91"/>
      <c r="I90" s="91"/>
      <c r="J90" s="1134"/>
      <c r="L90" s="2"/>
    </row>
    <row r="91" spans="3:12" ht="16.05" customHeight="1">
      <c r="C91" s="1648"/>
      <c r="D91" s="1644"/>
      <c r="E91" s="91"/>
      <c r="F91" s="91"/>
      <c r="G91" s="91"/>
      <c r="H91" s="91"/>
      <c r="I91" s="91"/>
      <c r="J91" s="1134"/>
      <c r="L91" s="2"/>
    </row>
    <row r="92" spans="3:36" s="101" customFormat="1" ht="25.05" customHeight="1">
      <c r="C92" s="1162" t="s">
        <v>350</v>
      </c>
      <c r="D92" s="1163">
        <f>+E65-'Debt amortization'!BV150+Dashboard!AB74</f>
        <v>8917522.681905905</v>
      </c>
      <c r="E92" s="320" t="s">
        <v>423</v>
      </c>
      <c r="F92" s="214"/>
      <c r="G92" s="214"/>
      <c r="H92" s="214"/>
      <c r="I92" s="214"/>
      <c r="J92" s="1144"/>
      <c r="L92" s="367"/>
      <c r="AJ92" s="367"/>
    </row>
    <row r="93" spans="3:10" ht="16.05" customHeight="1">
      <c r="C93" s="1164" t="s">
        <v>351</v>
      </c>
      <c r="D93" s="1127">
        <f>+D92*C86+D100*C84</f>
        <v>1916679.7632002402</v>
      </c>
      <c r="E93" s="320" t="s">
        <v>424</v>
      </c>
      <c r="F93" s="214"/>
      <c r="G93" s="1132"/>
      <c r="H93" s="1132"/>
      <c r="I93" s="1132"/>
      <c r="J93" s="1133"/>
    </row>
    <row r="94" spans="3:10" ht="16.05" customHeight="1">
      <c r="C94" s="1130"/>
      <c r="D94" s="1131"/>
      <c r="E94" s="1132"/>
      <c r="F94" s="1132"/>
      <c r="G94" s="1132"/>
      <c r="H94" s="1132"/>
      <c r="I94" s="1132"/>
      <c r="J94" s="1133"/>
    </row>
    <row r="95" spans="3:10" ht="16.05" customHeight="1" thickBot="1">
      <c r="C95" s="1130"/>
      <c r="D95" s="1131"/>
      <c r="E95" s="1132"/>
      <c r="F95" s="1132"/>
      <c r="G95" s="1132"/>
      <c r="H95" s="1132"/>
      <c r="I95" s="1132"/>
      <c r="J95" s="1133"/>
    </row>
    <row r="96" spans="3:36" s="101" customFormat="1" ht="22.95" customHeight="1" thickBot="1">
      <c r="C96" s="1652" t="s">
        <v>427</v>
      </c>
      <c r="D96" s="1653"/>
      <c r="E96" s="1653"/>
      <c r="F96" s="1653"/>
      <c r="G96" s="1653"/>
      <c r="H96" s="1653"/>
      <c r="I96" s="1653"/>
      <c r="J96" s="1654"/>
      <c r="L96" s="367"/>
      <c r="AJ96" s="367"/>
    </row>
    <row r="97" spans="3:10" ht="16.05" customHeight="1">
      <c r="C97" s="1130"/>
      <c r="D97" s="1131"/>
      <c r="E97" s="1132"/>
      <c r="F97" s="1132"/>
      <c r="G97" s="1132"/>
      <c r="H97" s="1132"/>
      <c r="I97" s="1132"/>
      <c r="J97" s="1133"/>
    </row>
    <row r="98" spans="3:12" ht="16.05" customHeight="1">
      <c r="C98" s="1648" t="s">
        <v>348</v>
      </c>
      <c r="D98" s="1644"/>
      <c r="E98" s="91"/>
      <c r="F98" s="91"/>
      <c r="G98" s="91"/>
      <c r="H98" s="91"/>
      <c r="I98" s="91"/>
      <c r="J98" s="1134"/>
      <c r="L98" s="2"/>
    </row>
    <row r="99" spans="3:12" ht="16.05" customHeight="1">
      <c r="C99" s="1648"/>
      <c r="D99" s="1644"/>
      <c r="E99" s="91"/>
      <c r="F99" s="91"/>
      <c r="G99" s="91"/>
      <c r="H99" s="91"/>
      <c r="I99" s="91"/>
      <c r="J99" s="1134"/>
      <c r="L99" s="2"/>
    </row>
    <row r="100" spans="3:36" s="101" customFormat="1" ht="25.05" customHeight="1">
      <c r="C100" s="1162" t="s">
        <v>428</v>
      </c>
      <c r="D100" s="1163">
        <f>+Dashboard!H71</f>
        <v>200000</v>
      </c>
      <c r="E100" s="1165"/>
      <c r="F100" s="214"/>
      <c r="G100" s="214"/>
      <c r="H100" s="214"/>
      <c r="I100" s="214"/>
      <c r="J100" s="1144"/>
      <c r="L100" s="367"/>
      <c r="AJ100" s="367"/>
    </row>
    <row r="101" spans="3:36" s="101" customFormat="1" ht="25.05" customHeight="1">
      <c r="C101" s="1162" t="s">
        <v>429</v>
      </c>
      <c r="D101" s="1163">
        <f>+Dashboard!M71</f>
        <v>0</v>
      </c>
      <c r="E101" s="1165"/>
      <c r="F101" s="214"/>
      <c r="G101" s="214"/>
      <c r="H101" s="214"/>
      <c r="I101" s="214"/>
      <c r="J101" s="1144"/>
      <c r="L101" s="367"/>
      <c r="AJ101" s="367"/>
    </row>
    <row r="102" spans="3:36" s="101" customFormat="1" ht="25.05" customHeight="1">
      <c r="C102" s="1162" t="s">
        <v>430</v>
      </c>
      <c r="D102" s="1163">
        <f>+Dashboard!R71</f>
        <v>0</v>
      </c>
      <c r="E102" s="1165"/>
      <c r="F102" s="214"/>
      <c r="G102" s="214"/>
      <c r="H102" s="214"/>
      <c r="I102" s="214"/>
      <c r="J102" s="1144"/>
      <c r="L102" s="367"/>
      <c r="AJ102" s="367"/>
    </row>
    <row r="103" spans="3:36" s="101" customFormat="1" ht="25.05" customHeight="1">
      <c r="C103" s="1162" t="s">
        <v>431</v>
      </c>
      <c r="D103" s="1163">
        <f>+Dashboard!W71</f>
        <v>0</v>
      </c>
      <c r="E103" s="1165"/>
      <c r="F103" s="214"/>
      <c r="G103" s="214"/>
      <c r="H103" s="214"/>
      <c r="I103" s="214"/>
      <c r="J103" s="1144"/>
      <c r="L103" s="367"/>
      <c r="AJ103" s="367"/>
    </row>
    <row r="104" spans="3:36" s="101" customFormat="1" ht="25.05" customHeight="1">
      <c r="C104" s="1162" t="s">
        <v>339</v>
      </c>
      <c r="D104" s="1166">
        <v>1</v>
      </c>
      <c r="E104" s="214" t="str">
        <f>FIXED(1-D104,2,TRUE)&amp;" Equity sold for "&amp;FIXED(D101,0,TRUE)</f>
        <v>0.00 Equity sold for 0</v>
      </c>
      <c r="F104" s="214" t="s">
        <v>340</v>
      </c>
      <c r="G104" s="1167" t="e">
        <f>D101/(1-D104)</f>
        <v>#DIV/0!</v>
      </c>
      <c r="H104" s="214" t="s">
        <v>341</v>
      </c>
      <c r="I104" s="1167" t="e">
        <f>+G104-D101</f>
        <v>#DIV/0!</v>
      </c>
      <c r="J104" s="1144"/>
      <c r="L104" s="367"/>
      <c r="AJ104" s="367"/>
    </row>
    <row r="105" spans="3:36" s="101" customFormat="1" ht="25.05" customHeight="1">
      <c r="C105" s="1162" t="s">
        <v>342</v>
      </c>
      <c r="D105" s="1166">
        <v>1</v>
      </c>
      <c r="E105" s="214" t="str">
        <f>FIXED(1-D105,2,TRUE)&amp;" Equity sold for "&amp;FIXED(D102,0,TRUE)</f>
        <v>0.00 Equity sold for 0</v>
      </c>
      <c r="F105" s="214" t="s">
        <v>343</v>
      </c>
      <c r="G105" s="1167" t="e">
        <f>D102/(1-D105)</f>
        <v>#DIV/0!</v>
      </c>
      <c r="H105" s="214" t="s">
        <v>344</v>
      </c>
      <c r="I105" s="1167" t="e">
        <f>+G105-D102</f>
        <v>#DIV/0!</v>
      </c>
      <c r="J105" s="1144"/>
      <c r="L105" s="367"/>
      <c r="AJ105" s="367"/>
    </row>
    <row r="106" spans="3:36" s="101" customFormat="1" ht="25.05" customHeight="1">
      <c r="C106" s="1162" t="s">
        <v>345</v>
      </c>
      <c r="D106" s="1166">
        <v>1</v>
      </c>
      <c r="E106" s="214" t="str">
        <f>FIXED(1-D106,2,TRUE)&amp;" Equity sold for "&amp;FIXED(D103,0,TRUE)</f>
        <v>0,00 Equity sold for 0</v>
      </c>
      <c r="F106" s="214" t="s">
        <v>346</v>
      </c>
      <c r="G106" s="1168" t="e">
        <f>D103/(1-D106)</f>
        <v>#DIV/0!</v>
      </c>
      <c r="H106" s="214" t="s">
        <v>347</v>
      </c>
      <c r="I106" s="1167" t="e">
        <f>+G106-D103</f>
        <v>#DIV/0!</v>
      </c>
      <c r="J106" s="1144"/>
      <c r="L106" s="367"/>
      <c r="AJ106" s="367"/>
    </row>
    <row r="107" spans="3:36" s="101" customFormat="1" ht="25.05" customHeight="1">
      <c r="C107" s="1169" t="s">
        <v>348</v>
      </c>
      <c r="D107" s="1170">
        <f>1/(D104*D105*D106)</f>
        <v>1</v>
      </c>
      <c r="E107" s="1171" t="s">
        <v>349</v>
      </c>
      <c r="F107" s="214"/>
      <c r="G107" s="214"/>
      <c r="H107" s="214"/>
      <c r="I107" s="214"/>
      <c r="J107" s="1144"/>
      <c r="L107" s="367"/>
      <c r="AJ107" s="367"/>
    </row>
    <row r="108" spans="3:12" ht="16.05" customHeight="1">
      <c r="C108" s="1172"/>
      <c r="D108" s="1135"/>
      <c r="E108" s="91"/>
      <c r="F108" s="91"/>
      <c r="G108" s="91"/>
      <c r="H108" s="91"/>
      <c r="I108" s="91"/>
      <c r="J108" s="1134"/>
      <c r="L108" s="2"/>
    </row>
    <row r="109" spans="3:12" ht="16.05" customHeight="1">
      <c r="C109" s="1648" t="s">
        <v>353</v>
      </c>
      <c r="D109" s="1644"/>
      <c r="E109" s="91"/>
      <c r="F109" s="91"/>
      <c r="G109" s="91"/>
      <c r="H109" s="91"/>
      <c r="I109" s="91"/>
      <c r="J109" s="1134"/>
      <c r="L109" s="2"/>
    </row>
    <row r="110" spans="3:12" ht="16.05" customHeight="1">
      <c r="C110" s="1648"/>
      <c r="D110" s="1644"/>
      <c r="E110" s="91"/>
      <c r="F110" s="91"/>
      <c r="G110" s="91"/>
      <c r="H110" s="91"/>
      <c r="I110" s="91"/>
      <c r="J110" s="1134"/>
      <c r="L110" s="2"/>
    </row>
    <row r="111" spans="3:12" ht="16.05" customHeight="1">
      <c r="C111" s="1130" t="s">
        <v>354</v>
      </c>
      <c r="D111" s="1173">
        <v>0.2007</v>
      </c>
      <c r="E111" s="91"/>
      <c r="F111" s="91"/>
      <c r="G111" s="91"/>
      <c r="H111" s="91"/>
      <c r="I111" s="91"/>
      <c r="J111" s="1134"/>
      <c r="L111" s="2"/>
    </row>
    <row r="112" spans="3:12" ht="16.05" customHeight="1">
      <c r="C112" s="1130" t="s">
        <v>355</v>
      </c>
      <c r="D112" s="1173">
        <f>+D111</f>
        <v>0.2007</v>
      </c>
      <c r="E112" s="91"/>
      <c r="F112" s="91"/>
      <c r="G112" s="91"/>
      <c r="H112" s="91"/>
      <c r="I112" s="91"/>
      <c r="J112" s="1134"/>
      <c r="L112" s="2"/>
    </row>
    <row r="113" spans="3:12" ht="16.05" customHeight="1">
      <c r="C113" s="1130" t="s">
        <v>356</v>
      </c>
      <c r="D113" s="1173">
        <v>0.3</v>
      </c>
      <c r="E113" s="91"/>
      <c r="F113" s="91"/>
      <c r="G113" s="91"/>
      <c r="H113" s="91"/>
      <c r="I113" s="91"/>
      <c r="J113" s="1134"/>
      <c r="L113" s="2"/>
    </row>
    <row r="114" spans="3:12" ht="16.05" customHeight="1">
      <c r="C114" s="1130" t="s">
        <v>357</v>
      </c>
      <c r="D114" s="1173">
        <v>0.3</v>
      </c>
      <c r="E114" s="91"/>
      <c r="F114" s="91"/>
      <c r="G114" s="91"/>
      <c r="H114" s="91"/>
      <c r="I114" s="91"/>
      <c r="J114" s="1134"/>
      <c r="L114" s="2"/>
    </row>
    <row r="115" spans="3:12" ht="16.05" customHeight="1">
      <c r="C115" s="1130" t="s">
        <v>406</v>
      </c>
      <c r="D115" s="1174">
        <v>1.32</v>
      </c>
      <c r="E115" s="91"/>
      <c r="F115" s="91"/>
      <c r="G115" s="91"/>
      <c r="H115" s="91"/>
      <c r="I115" s="91"/>
      <c r="J115" s="1134"/>
      <c r="L115" s="2"/>
    </row>
    <row r="116" spans="3:12" ht="16.05" customHeight="1">
      <c r="C116" s="1175" t="s">
        <v>358</v>
      </c>
      <c r="D116" s="1176">
        <f>+D115/(1+(1-D113)*D111)</f>
        <v>1.1573972590728547</v>
      </c>
      <c r="E116" s="91"/>
      <c r="F116" s="91"/>
      <c r="G116" s="91"/>
      <c r="H116" s="91"/>
      <c r="I116" s="91"/>
      <c r="J116" s="1134"/>
      <c r="L116" s="2"/>
    </row>
    <row r="117" spans="3:12" ht="16.05" customHeight="1">
      <c r="C117" s="1175" t="s">
        <v>407</v>
      </c>
      <c r="D117" s="1174">
        <v>0.79</v>
      </c>
      <c r="E117" s="91"/>
      <c r="F117" s="91"/>
      <c r="G117" s="91"/>
      <c r="H117" s="91"/>
      <c r="I117" s="91"/>
      <c r="J117" s="1134"/>
      <c r="L117" s="2"/>
    </row>
    <row r="118" spans="3:12" ht="16.05" customHeight="1">
      <c r="C118" s="1175" t="s">
        <v>359</v>
      </c>
      <c r="D118" s="1176">
        <f>D116/D117</f>
        <v>1.4650598216112085</v>
      </c>
      <c r="E118" s="91"/>
      <c r="F118" s="91"/>
      <c r="G118" s="91"/>
      <c r="H118" s="91"/>
      <c r="I118" s="91"/>
      <c r="J118" s="1134"/>
      <c r="L118" s="2"/>
    </row>
    <row r="119" spans="3:12" ht="16.05" customHeight="1">
      <c r="C119" s="1130" t="s">
        <v>360</v>
      </c>
      <c r="D119" s="1176">
        <f>+D118*(1+(1-D114)*D112)</f>
        <v>1.6708860759493671</v>
      </c>
      <c r="E119" s="91"/>
      <c r="F119" s="91"/>
      <c r="G119" s="91"/>
      <c r="H119" s="91"/>
      <c r="I119" s="91"/>
      <c r="J119" s="1134"/>
      <c r="L119" s="2"/>
    </row>
    <row r="120" spans="3:12" ht="16.05" customHeight="1">
      <c r="C120" s="1141" t="s">
        <v>546</v>
      </c>
      <c r="D120" s="1173">
        <v>-0.0056</v>
      </c>
      <c r="E120" s="91"/>
      <c r="F120" s="91"/>
      <c r="G120" s="91"/>
      <c r="H120" s="91"/>
      <c r="I120" s="91"/>
      <c r="J120" s="1134"/>
      <c r="L120" s="2"/>
    </row>
    <row r="121" spans="3:12" ht="16.05" customHeight="1">
      <c r="C121" s="1130" t="s">
        <v>547</v>
      </c>
      <c r="D121" s="1173">
        <v>0.0846</v>
      </c>
      <c r="E121" s="91"/>
      <c r="F121" s="91"/>
      <c r="G121" s="91"/>
      <c r="H121" s="91"/>
      <c r="I121" s="91"/>
      <c r="J121" s="1134"/>
      <c r="L121" s="2"/>
    </row>
    <row r="122" spans="3:12" ht="16.05" customHeight="1">
      <c r="C122" s="1139" t="s">
        <v>361</v>
      </c>
      <c r="D122" s="1177">
        <f>+D120+D119*D121</f>
        <v>0.13575696202531645</v>
      </c>
      <c r="E122" s="91"/>
      <c r="F122" s="91"/>
      <c r="G122" s="91"/>
      <c r="H122" s="91"/>
      <c r="I122" s="91"/>
      <c r="J122" s="1134"/>
      <c r="L122" s="2"/>
    </row>
    <row r="123" spans="2:10" ht="15.75">
      <c r="B123" s="5"/>
      <c r="C123" s="1178"/>
      <c r="D123" s="1142"/>
      <c r="E123" s="91"/>
      <c r="F123" s="91"/>
      <c r="G123" s="91"/>
      <c r="H123" s="91"/>
      <c r="I123" s="91"/>
      <c r="J123" s="1179"/>
    </row>
    <row r="124" spans="3:10" ht="16.05" customHeight="1">
      <c r="C124" s="1648" t="s">
        <v>403</v>
      </c>
      <c r="D124" s="1644"/>
      <c r="E124" s="1138"/>
      <c r="F124" s="91"/>
      <c r="G124" s="91"/>
      <c r="H124" s="91"/>
      <c r="I124" s="91"/>
      <c r="J124" s="1134"/>
    </row>
    <row r="125" spans="3:10" ht="15.75">
      <c r="C125" s="1648"/>
      <c r="D125" s="1644"/>
      <c r="E125" s="1138"/>
      <c r="F125" s="91"/>
      <c r="G125" s="91"/>
      <c r="H125" s="91"/>
      <c r="I125" s="91"/>
      <c r="J125" s="1134"/>
    </row>
    <row r="126" spans="3:10" ht="15.75">
      <c r="C126" s="1130" t="s">
        <v>433</v>
      </c>
      <c r="D126" s="1128">
        <v>4</v>
      </c>
      <c r="E126" s="91"/>
      <c r="F126" s="91"/>
      <c r="G126" s="91"/>
      <c r="H126" s="91"/>
      <c r="I126" s="91"/>
      <c r="J126" s="1134"/>
    </row>
    <row r="127" spans="3:10" ht="15.75">
      <c r="C127" s="1180" t="s">
        <v>403</v>
      </c>
      <c r="D127" s="1127">
        <f>+_xlfn.FLOOR.MATH((D93/D107)/(1+D122)^D126,100000)</f>
        <v>1100000</v>
      </c>
      <c r="E127" s="1181" t="s">
        <v>434</v>
      </c>
      <c r="F127" s="91"/>
      <c r="G127" s="91"/>
      <c r="H127" s="91"/>
      <c r="I127" s="91"/>
      <c r="J127" s="1134"/>
    </row>
    <row r="128" spans="3:10" ht="15.75">
      <c r="C128" s="1130"/>
      <c r="D128" s="1142"/>
      <c r="E128" s="91"/>
      <c r="F128" s="91"/>
      <c r="G128" s="91"/>
      <c r="H128" s="91"/>
      <c r="I128" s="91"/>
      <c r="J128" s="1134"/>
    </row>
    <row r="129" spans="3:10" ht="16.2" thickBot="1">
      <c r="C129" s="1130"/>
      <c r="D129" s="1142"/>
      <c r="E129" s="91"/>
      <c r="F129" s="91"/>
      <c r="G129" s="91"/>
      <c r="H129" s="91"/>
      <c r="I129" s="91"/>
      <c r="J129" s="1134"/>
    </row>
    <row r="130" spans="3:36" s="101" customFormat="1" ht="22.95" customHeight="1" thickBot="1">
      <c r="C130" s="1652" t="s">
        <v>439</v>
      </c>
      <c r="D130" s="1653"/>
      <c r="E130" s="1653"/>
      <c r="F130" s="1653"/>
      <c r="G130" s="1653"/>
      <c r="H130" s="1653"/>
      <c r="I130" s="1653"/>
      <c r="J130" s="1654"/>
      <c r="L130" s="367"/>
      <c r="AJ130" s="367"/>
    </row>
    <row r="131" spans="3:10" ht="15.75">
      <c r="C131" s="1130"/>
      <c r="D131" s="1142"/>
      <c r="E131" s="91"/>
      <c r="F131" s="91"/>
      <c r="G131" s="91"/>
      <c r="H131" s="91"/>
      <c r="I131" s="91"/>
      <c r="J131" s="1134"/>
    </row>
    <row r="132" spans="3:10" ht="16.05" customHeight="1">
      <c r="C132" s="1648" t="s">
        <v>403</v>
      </c>
      <c r="D132" s="1644"/>
      <c r="E132" s="1138"/>
      <c r="F132" s="91"/>
      <c r="G132" s="91"/>
      <c r="H132" s="91"/>
      <c r="I132" s="91"/>
      <c r="J132" s="1134"/>
    </row>
    <row r="133" spans="3:10" ht="15.75">
      <c r="C133" s="1648"/>
      <c r="D133" s="1644"/>
      <c r="E133" s="1138"/>
      <c r="F133" s="91"/>
      <c r="G133" s="91"/>
      <c r="H133" s="91"/>
      <c r="I133" s="91"/>
      <c r="J133" s="1134"/>
    </row>
    <row r="134" spans="3:10" ht="15.75">
      <c r="C134" s="1130" t="s">
        <v>436</v>
      </c>
      <c r="D134" s="1129">
        <f>+D100</f>
        <v>200000</v>
      </c>
      <c r="E134" s="91"/>
      <c r="F134" s="91"/>
      <c r="G134" s="91"/>
      <c r="H134" s="91"/>
      <c r="I134" s="91"/>
      <c r="J134" s="1134"/>
    </row>
    <row r="135" spans="3:36" s="101" customFormat="1" ht="25.05" customHeight="1">
      <c r="C135" s="1164" t="s">
        <v>352</v>
      </c>
      <c r="D135" s="1127">
        <f>+(D127-D100)</f>
        <v>900000</v>
      </c>
      <c r="E135" s="1182" t="s">
        <v>435</v>
      </c>
      <c r="F135" s="214"/>
      <c r="G135" s="214"/>
      <c r="H135" s="214"/>
      <c r="I135" s="214"/>
      <c r="J135" s="1144"/>
      <c r="L135" s="367"/>
      <c r="AJ135" s="367"/>
    </row>
    <row r="136" spans="3:36" s="101" customFormat="1" ht="16.05" customHeight="1">
      <c r="C136" s="1164" t="s">
        <v>437</v>
      </c>
      <c r="D136" s="1047">
        <f>+D100/D127</f>
        <v>0.18181818181818182</v>
      </c>
      <c r="E136" s="1182" t="s">
        <v>438</v>
      </c>
      <c r="F136" s="214"/>
      <c r="G136" s="214"/>
      <c r="H136" s="214"/>
      <c r="I136" s="214"/>
      <c r="J136" s="1144"/>
      <c r="L136" s="367"/>
      <c r="AJ136" s="367"/>
    </row>
    <row r="137" spans="2:36" ht="15" customHeight="1" thickBot="1">
      <c r="B137" s="1046"/>
      <c r="C137" s="1183"/>
      <c r="D137" s="1184"/>
      <c r="E137" s="1184"/>
      <c r="F137" s="1184"/>
      <c r="G137" s="1185"/>
      <c r="H137" s="1185"/>
      <c r="I137" s="1185"/>
      <c r="J137" s="1186"/>
      <c r="K137" s="367"/>
      <c r="L137" s="2"/>
      <c r="AI137" s="81"/>
      <c r="AJ137" s="2"/>
    </row>
    <row r="140" ht="16.2" thickBot="1"/>
    <row r="141" spans="2:20" ht="24" customHeight="1" thickBot="1">
      <c r="B141" s="5"/>
      <c r="C141" s="1645" t="s">
        <v>442</v>
      </c>
      <c r="D141" s="1646"/>
      <c r="E141" s="1646"/>
      <c r="F141" s="1646"/>
      <c r="G141" s="1646"/>
      <c r="H141" s="1646"/>
      <c r="I141" s="1646"/>
      <c r="J141" s="1646"/>
      <c r="K141" s="1646"/>
      <c r="L141" s="1646"/>
      <c r="M141" s="1646"/>
      <c r="N141" s="1646"/>
      <c r="O141" s="1646"/>
      <c r="P141" s="1646"/>
      <c r="Q141" s="1646"/>
      <c r="R141" s="1646"/>
      <c r="S141" s="1646"/>
      <c r="T141" s="1647"/>
    </row>
    <row r="142" spans="9:36" ht="15.75">
      <c r="I142" s="367"/>
      <c r="L142" s="2"/>
      <c r="AG142" s="81"/>
      <c r="AJ142" s="2"/>
    </row>
    <row r="143" spans="3:36" ht="15.75">
      <c r="C143" s="1678" t="s">
        <v>257</v>
      </c>
      <c r="D143" s="1678" t="s">
        <v>258</v>
      </c>
      <c r="E143" s="1678" t="s">
        <v>259</v>
      </c>
      <c r="F143" s="1678" t="s">
        <v>260</v>
      </c>
      <c r="G143" s="1678" t="s">
        <v>261</v>
      </c>
      <c r="H143" s="1680" t="s">
        <v>262</v>
      </c>
      <c r="I143" s="1682" t="s">
        <v>263</v>
      </c>
      <c r="J143" s="1683"/>
      <c r="K143" s="1683"/>
      <c r="L143" s="1683"/>
      <c r="M143" s="1683"/>
      <c r="N143" s="1684"/>
      <c r="O143" s="1685" t="s">
        <v>264</v>
      </c>
      <c r="P143" s="1683"/>
      <c r="Q143" s="1683"/>
      <c r="R143" s="1683"/>
      <c r="S143" s="1683"/>
      <c r="T143" s="1686"/>
      <c r="AG143" s="81"/>
      <c r="AJ143" s="2"/>
    </row>
    <row r="144" spans="3:36" ht="15.75">
      <c r="C144" s="1679"/>
      <c r="D144" s="1679"/>
      <c r="E144" s="1679"/>
      <c r="F144" s="1679"/>
      <c r="G144" s="1679"/>
      <c r="H144" s="1681"/>
      <c r="I144" s="733" t="s">
        <v>265</v>
      </c>
      <c r="J144" s="734" t="s">
        <v>266</v>
      </c>
      <c r="K144" s="735" t="s">
        <v>267</v>
      </c>
      <c r="L144" s="734" t="s">
        <v>268</v>
      </c>
      <c r="M144" s="735" t="s">
        <v>269</v>
      </c>
      <c r="N144" s="736" t="s">
        <v>270</v>
      </c>
      <c r="O144" s="735" t="s">
        <v>271</v>
      </c>
      <c r="P144" s="734" t="s">
        <v>272</v>
      </c>
      <c r="Q144" s="735" t="s">
        <v>273</v>
      </c>
      <c r="R144" s="734" t="s">
        <v>274</v>
      </c>
      <c r="S144" s="735" t="s">
        <v>275</v>
      </c>
      <c r="T144" s="1122" t="s">
        <v>276</v>
      </c>
      <c r="AG144" s="81"/>
      <c r="AJ144" s="2"/>
    </row>
    <row r="145" spans="3:36" ht="15.75">
      <c r="C145" s="1475" t="s">
        <v>562</v>
      </c>
      <c r="D145" s="1476" t="s">
        <v>563</v>
      </c>
      <c r="E145" s="1477" t="s">
        <v>564</v>
      </c>
      <c r="F145" s="1477" t="s">
        <v>565</v>
      </c>
      <c r="G145" s="1478" t="s">
        <v>277</v>
      </c>
      <c r="H145" s="1484">
        <v>1350000</v>
      </c>
      <c r="I145" s="1479">
        <v>420052</v>
      </c>
      <c r="J145" s="1480">
        <v>3.2138878043670784</v>
      </c>
      <c r="K145" s="1479">
        <v>1014153</v>
      </c>
      <c r="L145" s="1480">
        <v>0</v>
      </c>
      <c r="M145" s="1479" t="s">
        <v>566</v>
      </c>
      <c r="N145" s="1480" t="s">
        <v>566</v>
      </c>
      <c r="O145" s="1481">
        <v>66548</v>
      </c>
      <c r="P145" s="1480">
        <v>20.286109274508625</v>
      </c>
      <c r="Q145" s="1479">
        <v>246553</v>
      </c>
      <c r="R145" s="1480">
        <v>5.475496140789201</v>
      </c>
      <c r="S145" s="1479" t="s">
        <v>566</v>
      </c>
      <c r="T145" s="1482" t="s">
        <v>566</v>
      </c>
      <c r="AG145" s="81"/>
      <c r="AJ145" s="2"/>
    </row>
    <row r="146" spans="3:36" ht="15.75">
      <c r="C146" s="1477" t="s">
        <v>567</v>
      </c>
      <c r="D146" s="1476" t="s">
        <v>568</v>
      </c>
      <c r="E146" s="1477" t="s">
        <v>564</v>
      </c>
      <c r="F146" s="1477" t="s">
        <v>565</v>
      </c>
      <c r="G146" s="1483" t="s">
        <v>569</v>
      </c>
      <c r="H146" s="1485">
        <v>1500000</v>
      </c>
      <c r="I146" s="1479">
        <v>509000</v>
      </c>
      <c r="J146" s="1480">
        <v>2.9469548133595285</v>
      </c>
      <c r="K146" s="1479">
        <v>1247000</v>
      </c>
      <c r="L146" s="1480">
        <v>1.202886928628709</v>
      </c>
      <c r="M146" s="1479">
        <v>2978000</v>
      </c>
      <c r="N146" s="1480">
        <v>0.503693754197448</v>
      </c>
      <c r="O146" s="1487" t="s">
        <v>566</v>
      </c>
      <c r="P146" s="1480" t="s">
        <v>566</v>
      </c>
      <c r="Q146" s="1479" t="s">
        <v>566</v>
      </c>
      <c r="R146" s="1480" t="s">
        <v>566</v>
      </c>
      <c r="S146" s="1479" t="s">
        <v>566</v>
      </c>
      <c r="T146" s="1482" t="s">
        <v>566</v>
      </c>
      <c r="AG146" s="81"/>
      <c r="AJ146" s="2"/>
    </row>
    <row r="147" spans="3:36" ht="15.75">
      <c r="C147" s="1477" t="s">
        <v>570</v>
      </c>
      <c r="D147" s="1476" t="s">
        <v>571</v>
      </c>
      <c r="E147" s="1477" t="s">
        <v>564</v>
      </c>
      <c r="F147" s="1477" t="s">
        <v>572</v>
      </c>
      <c r="G147" s="1483" t="s">
        <v>573</v>
      </c>
      <c r="H147" s="1485">
        <v>2600000</v>
      </c>
      <c r="I147" s="1479">
        <v>2188800</v>
      </c>
      <c r="J147" s="1480">
        <v>1.1878654970760234</v>
      </c>
      <c r="K147" s="1479">
        <v>6814400</v>
      </c>
      <c r="L147" s="1480">
        <v>0.3815449636064804</v>
      </c>
      <c r="M147" s="1479" t="s">
        <v>566</v>
      </c>
      <c r="N147" s="1480" t="s">
        <v>566</v>
      </c>
      <c r="O147" s="1481">
        <v>795027</v>
      </c>
      <c r="P147" s="1480">
        <v>3.2703291837887267</v>
      </c>
      <c r="Q147" s="1479">
        <v>4086787</v>
      </c>
      <c r="R147" s="1480">
        <v>0.6361966013888172</v>
      </c>
      <c r="S147" s="1479" t="s">
        <v>566</v>
      </c>
      <c r="T147" s="1482" t="s">
        <v>566</v>
      </c>
      <c r="AG147" s="81"/>
      <c r="AJ147" s="2"/>
    </row>
    <row r="148" spans="3:36" ht="15.75">
      <c r="C148" s="1477" t="s">
        <v>574</v>
      </c>
      <c r="D148" s="1488" t="s">
        <v>575</v>
      </c>
      <c r="E148" s="1477" t="s">
        <v>564</v>
      </c>
      <c r="F148" s="1477" t="s">
        <v>576</v>
      </c>
      <c r="G148" s="1483" t="s">
        <v>577</v>
      </c>
      <c r="H148" s="1485">
        <v>1500000</v>
      </c>
      <c r="I148" s="1479" t="s">
        <v>566</v>
      </c>
      <c r="J148" s="1480" t="s">
        <v>566</v>
      </c>
      <c r="K148" s="1479" t="s">
        <v>566</v>
      </c>
      <c r="L148" s="1480" t="s">
        <v>566</v>
      </c>
      <c r="M148" s="1479" t="s">
        <v>566</v>
      </c>
      <c r="N148" s="1480" t="s">
        <v>566</v>
      </c>
      <c r="O148" s="1487" t="s">
        <v>566</v>
      </c>
      <c r="P148" s="1480" t="s">
        <v>566</v>
      </c>
      <c r="Q148" s="1479" t="s">
        <v>566</v>
      </c>
      <c r="R148" s="1480" t="s">
        <v>566</v>
      </c>
      <c r="S148" s="1479" t="s">
        <v>566</v>
      </c>
      <c r="T148" s="1482" t="s">
        <v>566</v>
      </c>
      <c r="AG148" s="81"/>
      <c r="AJ148" s="2"/>
    </row>
    <row r="149" spans="3:36" ht="15.75">
      <c r="C149" s="737"/>
      <c r="D149" s="1125"/>
      <c r="E149" s="737"/>
      <c r="F149" s="737"/>
      <c r="G149" s="1483"/>
      <c r="H149" s="1485"/>
      <c r="I149" s="1118"/>
      <c r="J149" s="1110"/>
      <c r="K149" s="1111"/>
      <c r="L149" s="1110"/>
      <c r="M149" s="1111"/>
      <c r="N149" s="738"/>
      <c r="O149" s="1118"/>
      <c r="P149" s="1117"/>
      <c r="Q149" s="1118"/>
      <c r="R149" s="1117"/>
      <c r="S149" s="1118"/>
      <c r="T149" s="1123"/>
      <c r="AG149" s="81"/>
      <c r="AJ149" s="2"/>
    </row>
    <row r="150" spans="3:36" ht="15.75">
      <c r="C150" s="737"/>
      <c r="D150" s="1125"/>
      <c r="E150" s="737"/>
      <c r="F150" s="737"/>
      <c r="G150" s="1483"/>
      <c r="H150" s="1485"/>
      <c r="I150" s="1118"/>
      <c r="J150" s="1110"/>
      <c r="K150" s="1113"/>
      <c r="L150" s="1110"/>
      <c r="M150" s="1113"/>
      <c r="N150" s="738"/>
      <c r="O150" s="1119"/>
      <c r="P150" s="1117"/>
      <c r="Q150" s="1119"/>
      <c r="R150" s="1117"/>
      <c r="S150" s="1119"/>
      <c r="T150" s="1123"/>
      <c r="AG150" s="81"/>
      <c r="AJ150" s="2"/>
    </row>
    <row r="151" spans="3:36" ht="15.75">
      <c r="C151" s="737"/>
      <c r="D151" s="1125"/>
      <c r="E151" s="737"/>
      <c r="F151" s="737"/>
      <c r="G151" s="1483"/>
      <c r="H151" s="1485"/>
      <c r="I151" s="1118"/>
      <c r="J151" s="1110"/>
      <c r="K151" s="1111"/>
      <c r="L151" s="1110"/>
      <c r="M151" s="1112"/>
      <c r="N151" s="738"/>
      <c r="O151" s="1119"/>
      <c r="P151" s="1117"/>
      <c r="Q151" s="1119"/>
      <c r="R151" s="1117"/>
      <c r="S151" s="1119"/>
      <c r="T151" s="1123"/>
      <c r="AG151" s="81"/>
      <c r="AJ151" s="2"/>
    </row>
    <row r="152" spans="3:36" ht="15.75">
      <c r="C152" s="737"/>
      <c r="D152" s="1125"/>
      <c r="E152" s="737"/>
      <c r="F152" s="737"/>
      <c r="G152" s="1483"/>
      <c r="H152" s="1485"/>
      <c r="I152" s="1118"/>
      <c r="J152" s="1110"/>
      <c r="K152" s="1111"/>
      <c r="L152" s="1110"/>
      <c r="M152" s="1111"/>
      <c r="N152" s="738"/>
      <c r="O152" s="1118"/>
      <c r="P152" s="1117"/>
      <c r="Q152" s="1118"/>
      <c r="R152" s="1117"/>
      <c r="S152" s="1118"/>
      <c r="T152" s="1123"/>
      <c r="AG152" s="81"/>
      <c r="AJ152" s="2"/>
    </row>
    <row r="153" spans="3:36" ht="15.75">
      <c r="C153" s="737"/>
      <c r="D153" s="1125"/>
      <c r="E153" s="737"/>
      <c r="F153" s="737"/>
      <c r="G153" s="1483"/>
      <c r="H153" s="1485"/>
      <c r="I153" s="1118"/>
      <c r="J153" s="1110"/>
      <c r="K153" s="1111"/>
      <c r="L153" s="1110"/>
      <c r="M153" s="1112"/>
      <c r="N153" s="738"/>
      <c r="O153" s="1119"/>
      <c r="P153" s="1117"/>
      <c r="Q153" s="1119"/>
      <c r="R153" s="1117"/>
      <c r="S153" s="1119"/>
      <c r="T153" s="1123"/>
      <c r="AG153" s="81"/>
      <c r="AJ153" s="2"/>
    </row>
    <row r="154" spans="3:36" ht="15.75">
      <c r="C154" s="737"/>
      <c r="D154" s="1125"/>
      <c r="E154" s="737"/>
      <c r="F154" s="737"/>
      <c r="G154" s="1483"/>
      <c r="H154" s="1485"/>
      <c r="I154" s="1118"/>
      <c r="J154" s="1110"/>
      <c r="K154" s="1111"/>
      <c r="L154" s="1110"/>
      <c r="M154" s="1111"/>
      <c r="N154" s="738"/>
      <c r="O154" s="1118"/>
      <c r="P154" s="1117"/>
      <c r="Q154" s="1118"/>
      <c r="R154" s="1117"/>
      <c r="S154" s="1118"/>
      <c r="T154" s="1123"/>
      <c r="AG154" s="81"/>
      <c r="AJ154" s="2"/>
    </row>
    <row r="155" spans="3:36" ht="15.75">
      <c r="C155" s="737"/>
      <c r="D155" s="1125"/>
      <c r="E155" s="737"/>
      <c r="F155" s="737"/>
      <c r="G155" s="1483"/>
      <c r="H155" s="1485"/>
      <c r="I155" s="1118"/>
      <c r="J155" s="1110"/>
      <c r="K155" s="1113"/>
      <c r="L155" s="1110"/>
      <c r="M155" s="1113"/>
      <c r="N155" s="738"/>
      <c r="O155" s="1119"/>
      <c r="P155" s="1117"/>
      <c r="Q155" s="1119"/>
      <c r="R155" s="1117"/>
      <c r="S155" s="1119"/>
      <c r="T155" s="1123"/>
      <c r="AG155" s="81"/>
      <c r="AJ155" s="2"/>
    </row>
    <row r="156" spans="3:36" ht="15.75">
      <c r="C156" s="737"/>
      <c r="D156" s="1125"/>
      <c r="E156" s="737"/>
      <c r="F156" s="737"/>
      <c r="G156" s="1483"/>
      <c r="H156" s="1485"/>
      <c r="I156" s="1118"/>
      <c r="J156" s="1110"/>
      <c r="K156" s="1111"/>
      <c r="L156" s="1110"/>
      <c r="M156" s="1112"/>
      <c r="N156" s="738"/>
      <c r="O156" s="1119"/>
      <c r="P156" s="1117"/>
      <c r="Q156" s="1119"/>
      <c r="R156" s="1117"/>
      <c r="S156" s="1119"/>
      <c r="T156" s="1123"/>
      <c r="AG156" s="81"/>
      <c r="AJ156" s="2"/>
    </row>
    <row r="157" spans="3:36" ht="15.75">
      <c r="C157" s="737"/>
      <c r="D157" s="1125"/>
      <c r="E157" s="737"/>
      <c r="F157" s="737"/>
      <c r="G157" s="1483"/>
      <c r="H157" s="1485"/>
      <c r="I157" s="1118"/>
      <c r="J157" s="1110"/>
      <c r="K157" s="1111"/>
      <c r="L157" s="1110"/>
      <c r="M157" s="1111"/>
      <c r="N157" s="738"/>
      <c r="O157" s="1118"/>
      <c r="P157" s="1117"/>
      <c r="Q157" s="1118"/>
      <c r="R157" s="1117"/>
      <c r="S157" s="1118"/>
      <c r="T157" s="1123"/>
      <c r="AG157" s="81"/>
      <c r="AJ157" s="2"/>
    </row>
    <row r="158" spans="3:36" ht="15.75">
      <c r="C158" s="737"/>
      <c r="D158" s="1125"/>
      <c r="E158" s="737"/>
      <c r="F158" s="737"/>
      <c r="G158" s="1483"/>
      <c r="H158" s="1486"/>
      <c r="I158" s="1118"/>
      <c r="J158" s="1110"/>
      <c r="K158" s="1113"/>
      <c r="L158" s="1110"/>
      <c r="M158" s="1113"/>
      <c r="N158" s="738"/>
      <c r="O158" s="1120"/>
      <c r="P158" s="1121"/>
      <c r="Q158" s="1120"/>
      <c r="R158" s="1121"/>
      <c r="S158" s="1120"/>
      <c r="T158" s="1124"/>
      <c r="AG158" s="81"/>
      <c r="AJ158" s="2"/>
    </row>
    <row r="159" spans="3:36" ht="15.75">
      <c r="C159" s="739" t="s">
        <v>278</v>
      </c>
      <c r="D159" s="1126"/>
      <c r="E159" s="739"/>
      <c r="F159" s="739"/>
      <c r="G159" s="739"/>
      <c r="H159" s="740">
        <f>+AVERAGE(H145:H158)</f>
        <v>1737500</v>
      </c>
      <c r="I159" s="741">
        <f>+AVERAGE(I145:I158)</f>
        <v>1039284</v>
      </c>
      <c r="J159" s="742">
        <f>+AVERAGE(J145:J158)</f>
        <v>2.4495693716008766</v>
      </c>
      <c r="K159" s="743">
        <f aca="true" t="shared" si="0" ref="K159:T159">+AVERAGE(K145:K158)</f>
        <v>3025184.3333333335</v>
      </c>
      <c r="L159" s="742">
        <f t="shared" si="0"/>
        <v>0.5281439640783964</v>
      </c>
      <c r="M159" s="743">
        <f t="shared" si="0"/>
        <v>2978000</v>
      </c>
      <c r="N159" s="744">
        <f t="shared" si="0"/>
        <v>0.503693754197448</v>
      </c>
      <c r="O159" s="1114">
        <f t="shared" si="0"/>
        <v>430787.5</v>
      </c>
      <c r="P159" s="1115">
        <f t="shared" si="0"/>
        <v>11.778219229148675</v>
      </c>
      <c r="Q159" s="1114">
        <f t="shared" si="0"/>
        <v>2166670</v>
      </c>
      <c r="R159" s="1115">
        <f t="shared" si="0"/>
        <v>3.055846371089009</v>
      </c>
      <c r="S159" s="1114" t="e">
        <f t="shared" si="0"/>
        <v>#DIV/0!</v>
      </c>
      <c r="T159" s="1116" t="e">
        <f t="shared" si="0"/>
        <v>#DIV/0!</v>
      </c>
      <c r="AG159" s="81"/>
      <c r="AJ159" s="2"/>
    </row>
    <row r="160" spans="3:36" ht="15.75">
      <c r="C160" s="745" t="s">
        <v>279</v>
      </c>
      <c r="D160" s="745"/>
      <c r="E160" s="745"/>
      <c r="F160" s="745"/>
      <c r="G160" s="745"/>
      <c r="H160" s="746">
        <f>+MEDIAN(H145:H158)</f>
        <v>1500000</v>
      </c>
      <c r="I160" s="747">
        <f aca="true" t="shared" si="1" ref="I160:T160">+MEDIAN(I145:I158)</f>
        <v>509000</v>
      </c>
      <c r="J160" s="748">
        <f t="shared" si="1"/>
        <v>2.9469548133595285</v>
      </c>
      <c r="K160" s="749">
        <f t="shared" si="1"/>
        <v>1247000</v>
      </c>
      <c r="L160" s="748">
        <f t="shared" si="1"/>
        <v>0.3815449636064804</v>
      </c>
      <c r="M160" s="749">
        <f t="shared" si="1"/>
        <v>2978000</v>
      </c>
      <c r="N160" s="750">
        <f t="shared" si="1"/>
        <v>0.503693754197448</v>
      </c>
      <c r="O160" s="749">
        <f t="shared" si="1"/>
        <v>430787.5</v>
      </c>
      <c r="P160" s="748">
        <f t="shared" si="1"/>
        <v>11.778219229148677</v>
      </c>
      <c r="Q160" s="749">
        <f t="shared" si="1"/>
        <v>2166670</v>
      </c>
      <c r="R160" s="748">
        <f t="shared" si="1"/>
        <v>3.055846371089009</v>
      </c>
      <c r="S160" s="749" t="e">
        <f t="shared" si="1"/>
        <v>#NUM!</v>
      </c>
      <c r="T160" s="751" t="e">
        <f t="shared" si="1"/>
        <v>#NUM!</v>
      </c>
      <c r="AG160" s="81"/>
      <c r="AJ160" s="2"/>
    </row>
    <row r="161" spans="3:33" s="752" customFormat="1" ht="15.75">
      <c r="C161" s="753" t="s">
        <v>578</v>
      </c>
      <c r="D161" s="754"/>
      <c r="E161" s="753" t="str">
        <f>E148</f>
        <v>E-commerce / Marketplace</v>
      </c>
      <c r="F161" s="753"/>
      <c r="G161" s="753" t="s">
        <v>277</v>
      </c>
      <c r="H161" s="755">
        <f>+D135</f>
        <v>900000</v>
      </c>
      <c r="I161" s="756">
        <f>+Dashboard!H17</f>
        <v>64511.25</v>
      </c>
      <c r="J161" s="757">
        <f>+_xlfn.IFERROR($H161/I161,0)</f>
        <v>13.951055048538045</v>
      </c>
      <c r="K161" s="756">
        <f>+Dashboard!M17</f>
        <v>553007.75</v>
      </c>
      <c r="L161" s="757">
        <f aca="true" t="shared" si="2" ref="L161:T161">+_xlfn.IFERROR($H161/K161,0)</f>
        <v>1.6274636295784282</v>
      </c>
      <c r="M161" s="756">
        <f>+Dashboard!R17</f>
        <v>1091187.625</v>
      </c>
      <c r="N161" s="759">
        <f t="shared" si="2"/>
        <v>0.8247894123616001</v>
      </c>
      <c r="O161" s="758">
        <f>+Dashboard!H25</f>
        <v>8160</v>
      </c>
      <c r="P161" s="757">
        <f t="shared" si="2"/>
        <v>110.29411764705883</v>
      </c>
      <c r="Q161" s="758">
        <f>+Dashboard!M25</f>
        <v>102000</v>
      </c>
      <c r="R161" s="757">
        <f t="shared" si="2"/>
        <v>8.823529411764707</v>
      </c>
      <c r="S161" s="758">
        <f>+Dashboard!R25</f>
        <v>234599.99999999994</v>
      </c>
      <c r="T161" s="760">
        <f t="shared" si="2"/>
        <v>3.836317135549873</v>
      </c>
      <c r="AG161" s="761"/>
    </row>
  </sheetData>
  <sheetProtection algorithmName="SHA-512" hashValue="C8W7Yp9GMLz3z0UD7vG2vyMfjH6codhZDvIknaAqaAWGJ9lqJTmI6Vre4k/rDgExwXKK6lDmmqbNpF0NYv5qqw==" saltValue="G8ZEoY9WeQdtDLPveCNALA==" spinCount="100000" sheet="1" objects="1" scenarios="1"/>
  <mergeCells count="33">
    <mergeCell ref="G143:G144"/>
    <mergeCell ref="H143:H144"/>
    <mergeCell ref="I143:N143"/>
    <mergeCell ref="O143:T143"/>
    <mergeCell ref="C143:C144"/>
    <mergeCell ref="D143:D144"/>
    <mergeCell ref="E143:E144"/>
    <mergeCell ref="F143:F144"/>
    <mergeCell ref="B3:C5"/>
    <mergeCell ref="C124:D125"/>
    <mergeCell ref="C25:D26"/>
    <mergeCell ref="C14:I19"/>
    <mergeCell ref="C13:J13"/>
    <mergeCell ref="C22:J22"/>
    <mergeCell ref="C84:C85"/>
    <mergeCell ref="D84:D85"/>
    <mergeCell ref="F84:F85"/>
    <mergeCell ref="C86:C87"/>
    <mergeCell ref="D86:D87"/>
    <mergeCell ref="C23:J23"/>
    <mergeCell ref="C67:D68"/>
    <mergeCell ref="C81:D82"/>
    <mergeCell ref="C49:E49"/>
    <mergeCell ref="G77:H77"/>
    <mergeCell ref="C51:D52"/>
    <mergeCell ref="C141:T141"/>
    <mergeCell ref="C132:D133"/>
    <mergeCell ref="C79:J79"/>
    <mergeCell ref="C96:J96"/>
    <mergeCell ref="C130:J130"/>
    <mergeCell ref="C98:D99"/>
    <mergeCell ref="C90:D91"/>
    <mergeCell ref="C109:D110"/>
  </mergeCells>
  <dataValidations count="1">
    <dataValidation type="list" allowBlank="1" showErrorMessage="1" sqref="G161 G145:G158">
      <formula1>"&lt; €100K,tra €100K e €500K,&gt; €500K,N.A."</formula1>
    </dataValidation>
  </dataValidations>
  <hyperlinks>
    <hyperlink ref="B9" location="'Business Assumptions'!A1" display="1) Assumptions"/>
    <hyperlink ref="D20" r:id="rId1" display="https://www.bizplace.it/wp-content/uploads/2018/11/The-BizPlace-valuation-model-.x77896.pdf"/>
    <hyperlink ref="C88" r:id="rId2" display="http://www.eif.org/news_centre/publications/eif_wp_41.pdf "/>
    <hyperlink ref="D145" r:id="rId3" display="https://www.opstart.it/progetto/equiticket/"/>
    <hyperlink ref="D146" r:id="rId4" display="https://www.opstart.it/progetto/japal/"/>
    <hyperlink ref="D147" r:id="rId5" display="https://www.wearestarting.it/offering/0brand"/>
    <hyperlink ref="D148" r:id="rId6" display="https://www.backtowork24.com/online-campaign.php?c=72-rd24"/>
  </hyperlinks>
  <printOptions/>
  <pageMargins left="0.7" right="0.7" top="0.75" bottom="0.75" header="0.3" footer="0.3"/>
  <pageSetup orientation="portrait" paperSize="9"/>
  <drawing r:id="rId9"/>
  <legacy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DU528"/>
  <sheetViews>
    <sheetView zoomScale="55" zoomScaleNormal="55" workbookViewId="0" topLeftCell="D1">
      <pane xSplit="2" ySplit="12" topLeftCell="F314" activePane="bottomRight" state="frozen"/>
      <selection pane="topLeft" activeCell="D1" sqref="D1"/>
      <selection pane="topRight" activeCell="F1" sqref="F1"/>
      <selection pane="bottomLeft" activeCell="D7" sqref="D7"/>
      <selection pane="bottomRight" activeCell="AX73" sqref="AX73"/>
    </sheetView>
  </sheetViews>
  <sheetFormatPr defaultColWidth="10.75390625" defaultRowHeight="15.75"/>
  <cols>
    <col min="1" max="2" width="10.75390625" style="2" customWidth="1"/>
    <col min="3" max="3" width="12.75390625" style="2" customWidth="1"/>
    <col min="4" max="4" width="14.00390625" style="2" customWidth="1"/>
    <col min="5" max="5" width="16.25390625" style="2" customWidth="1"/>
    <col min="6" max="65" width="12.75390625" style="2" customWidth="1"/>
    <col min="66" max="16384" width="10.75390625" style="2" customWidth="1"/>
  </cols>
  <sheetData>
    <row r="2" spans="4:5" ht="15.75">
      <c r="D2" s="1689" t="s">
        <v>56</v>
      </c>
      <c r="E2" s="1689"/>
    </row>
    <row r="3" ht="16.2" thickBot="1"/>
    <row r="4" spans="4:5" ht="16.2" thickBot="1">
      <c r="D4" s="1690" t="s">
        <v>207</v>
      </c>
      <c r="E4" s="1691"/>
    </row>
    <row r="5" spans="4:6" s="101" customFormat="1" ht="16.95" customHeight="1" thickBot="1">
      <c r="D5" s="1527" t="s">
        <v>209</v>
      </c>
      <c r="E5" s="1529"/>
      <c r="F5" s="413">
        <f>+WC!C5</f>
        <v>1</v>
      </c>
    </row>
    <row r="6" spans="4:6" ht="16.95" customHeight="1" thickBot="1">
      <c r="D6" s="1687" t="s">
        <v>210</v>
      </c>
      <c r="E6" s="1688"/>
      <c r="F6" s="413">
        <f>+WC!C7-30</f>
        <v>60</v>
      </c>
    </row>
    <row r="7" ht="16.2" thickBot="1">
      <c r="F7" s="8"/>
    </row>
    <row r="8" spans="4:6" ht="16.2" thickBot="1">
      <c r="D8" s="1690" t="s">
        <v>208</v>
      </c>
      <c r="E8" s="1691"/>
      <c r="F8" s="8"/>
    </row>
    <row r="9" spans="4:6" ht="16.2" thickBot="1">
      <c r="D9" s="1527" t="s">
        <v>209</v>
      </c>
      <c r="E9" s="1529"/>
      <c r="F9" s="413">
        <f>+WC!C10</f>
        <v>1</v>
      </c>
    </row>
    <row r="10" spans="4:6" ht="16.2" thickBot="1">
      <c r="D10" s="1687" t="s">
        <v>210</v>
      </c>
      <c r="E10" s="1688"/>
      <c r="F10" s="413">
        <f>+WC!C12-30</f>
        <v>60</v>
      </c>
    </row>
    <row r="12" spans="6:65" s="113" customFormat="1" ht="25.05" customHeight="1">
      <c r="F12" s="416">
        <v>43466</v>
      </c>
      <c r="G12" s="416">
        <f>+F12+31</f>
        <v>43497</v>
      </c>
      <c r="H12" s="416">
        <f aca="true" t="shared" si="0" ref="H12:BA12">+G12+31</f>
        <v>43528</v>
      </c>
      <c r="I12" s="416">
        <f t="shared" si="0"/>
        <v>43559</v>
      </c>
      <c r="J12" s="416">
        <f t="shared" si="0"/>
        <v>43590</v>
      </c>
      <c r="K12" s="416">
        <f t="shared" si="0"/>
        <v>43621</v>
      </c>
      <c r="L12" s="416">
        <f t="shared" si="0"/>
        <v>43652</v>
      </c>
      <c r="M12" s="416">
        <f t="shared" si="0"/>
        <v>43683</v>
      </c>
      <c r="N12" s="416">
        <f t="shared" si="0"/>
        <v>43714</v>
      </c>
      <c r="O12" s="416">
        <f t="shared" si="0"/>
        <v>43745</v>
      </c>
      <c r="P12" s="416">
        <f t="shared" si="0"/>
        <v>43776</v>
      </c>
      <c r="Q12" s="416">
        <f t="shared" si="0"/>
        <v>43807</v>
      </c>
      <c r="R12" s="416">
        <f t="shared" si="0"/>
        <v>43838</v>
      </c>
      <c r="S12" s="416">
        <f t="shared" si="0"/>
        <v>43869</v>
      </c>
      <c r="T12" s="416">
        <f t="shared" si="0"/>
        <v>43900</v>
      </c>
      <c r="U12" s="416">
        <f t="shared" si="0"/>
        <v>43931</v>
      </c>
      <c r="V12" s="416">
        <f t="shared" si="0"/>
        <v>43962</v>
      </c>
      <c r="W12" s="416">
        <f t="shared" si="0"/>
        <v>43993</v>
      </c>
      <c r="X12" s="416">
        <f t="shared" si="0"/>
        <v>44024</v>
      </c>
      <c r="Y12" s="416">
        <f t="shared" si="0"/>
        <v>44055</v>
      </c>
      <c r="Z12" s="416">
        <f t="shared" si="0"/>
        <v>44086</v>
      </c>
      <c r="AA12" s="416">
        <f t="shared" si="0"/>
        <v>44117</v>
      </c>
      <c r="AB12" s="416">
        <f t="shared" si="0"/>
        <v>44148</v>
      </c>
      <c r="AC12" s="416">
        <f t="shared" si="0"/>
        <v>44179</v>
      </c>
      <c r="AD12" s="416">
        <f t="shared" si="0"/>
        <v>44210</v>
      </c>
      <c r="AE12" s="416">
        <f t="shared" si="0"/>
        <v>44241</v>
      </c>
      <c r="AF12" s="416">
        <f t="shared" si="0"/>
        <v>44272</v>
      </c>
      <c r="AG12" s="416">
        <f t="shared" si="0"/>
        <v>44303</v>
      </c>
      <c r="AH12" s="416">
        <f t="shared" si="0"/>
        <v>44334</v>
      </c>
      <c r="AI12" s="416">
        <f t="shared" si="0"/>
        <v>44365</v>
      </c>
      <c r="AJ12" s="416">
        <f t="shared" si="0"/>
        <v>44396</v>
      </c>
      <c r="AK12" s="416">
        <f t="shared" si="0"/>
        <v>44427</v>
      </c>
      <c r="AL12" s="416">
        <f t="shared" si="0"/>
        <v>44458</v>
      </c>
      <c r="AM12" s="416">
        <f t="shared" si="0"/>
        <v>44489</v>
      </c>
      <c r="AN12" s="416">
        <f t="shared" si="0"/>
        <v>44520</v>
      </c>
      <c r="AO12" s="416">
        <f t="shared" si="0"/>
        <v>44551</v>
      </c>
      <c r="AP12" s="416">
        <f t="shared" si="0"/>
        <v>44582</v>
      </c>
      <c r="AQ12" s="416">
        <f t="shared" si="0"/>
        <v>44613</v>
      </c>
      <c r="AR12" s="416">
        <f t="shared" si="0"/>
        <v>44644</v>
      </c>
      <c r="AS12" s="416">
        <f t="shared" si="0"/>
        <v>44675</v>
      </c>
      <c r="AT12" s="416">
        <f t="shared" si="0"/>
        <v>44706</v>
      </c>
      <c r="AU12" s="416">
        <f t="shared" si="0"/>
        <v>44737</v>
      </c>
      <c r="AV12" s="416">
        <f t="shared" si="0"/>
        <v>44768</v>
      </c>
      <c r="AW12" s="416">
        <f t="shared" si="0"/>
        <v>44799</v>
      </c>
      <c r="AX12" s="416">
        <f t="shared" si="0"/>
        <v>44830</v>
      </c>
      <c r="AY12" s="416">
        <f t="shared" si="0"/>
        <v>44861</v>
      </c>
      <c r="AZ12" s="416">
        <f t="shared" si="0"/>
        <v>44892</v>
      </c>
      <c r="BA12" s="416">
        <f t="shared" si="0"/>
        <v>44923</v>
      </c>
      <c r="BB12" s="416">
        <f>+BA12+31</f>
        <v>44954</v>
      </c>
      <c r="BC12" s="416">
        <f aca="true" t="shared" si="1" ref="BC12">+BB12+31</f>
        <v>44985</v>
      </c>
      <c r="BD12" s="416">
        <f aca="true" t="shared" si="2" ref="BD12">+BC12+31</f>
        <v>45016</v>
      </c>
      <c r="BE12" s="416">
        <f>+BD12+10</f>
        <v>45026</v>
      </c>
      <c r="BF12" s="416">
        <f aca="true" t="shared" si="3" ref="BF12">+BE12+31</f>
        <v>45057</v>
      </c>
      <c r="BG12" s="416">
        <f aca="true" t="shared" si="4" ref="BG12">+BF12+31</f>
        <v>45088</v>
      </c>
      <c r="BH12" s="416">
        <f aca="true" t="shared" si="5" ref="BH12">+BG12+31</f>
        <v>45119</v>
      </c>
      <c r="BI12" s="416">
        <f aca="true" t="shared" si="6" ref="BI12">+BH12+31</f>
        <v>45150</v>
      </c>
      <c r="BJ12" s="416">
        <f aca="true" t="shared" si="7" ref="BJ12">+BI12+31</f>
        <v>45181</v>
      </c>
      <c r="BK12" s="416">
        <f aca="true" t="shared" si="8" ref="BK12">+BJ12+31</f>
        <v>45212</v>
      </c>
      <c r="BL12" s="416">
        <f aca="true" t="shared" si="9" ref="BL12">+BK12+31</f>
        <v>45243</v>
      </c>
      <c r="BM12" s="416">
        <f aca="true" t="shared" si="10" ref="BM12">+BL12+31</f>
        <v>45274</v>
      </c>
    </row>
    <row r="13" spans="5:65" s="331" customFormat="1" ht="15.75">
      <c r="E13" s="416">
        <v>43466</v>
      </c>
      <c r="F13" s="331">
        <f>+F144</f>
        <v>0</v>
      </c>
      <c r="G13" s="331">
        <f>+IF(SUM($F79:F79)&gt;=G144*$F$5,0,G79)</f>
        <v>0</v>
      </c>
      <c r="H13" s="331">
        <f>+IF(SUM($F79:G79)&gt;=H144*$F$5,0,H79)</f>
        <v>0</v>
      </c>
      <c r="I13" s="331">
        <f>+IF(SUM($F79:H79)&gt;=I144*$F$5,0,I79)</f>
        <v>0</v>
      </c>
      <c r="J13" s="331">
        <f>+IF(SUM($F79:I79)&gt;=J144*$F$5,0,J79)</f>
        <v>0</v>
      </c>
      <c r="K13" s="331">
        <f>+IF(SUM($F79:J79)&gt;=K144*$F$5,0,K79)</f>
        <v>0</v>
      </c>
      <c r="L13" s="331">
        <f>+IF(SUM($F79:K79)&gt;=L144*$F$5,0,L79)</f>
        <v>0</v>
      </c>
      <c r="M13" s="331">
        <f>+IF(SUM($F79:L79)&gt;=M144*$F$5,0,M79)</f>
        <v>0</v>
      </c>
      <c r="N13" s="331">
        <f>+IF(SUM($F79:M79)&gt;=N144*$F$5,0,N79)</f>
        <v>0</v>
      </c>
      <c r="O13" s="331">
        <f>+IF(SUM($F79:N79)&gt;=O144*$F$5,0,O79)</f>
        <v>0</v>
      </c>
      <c r="P13" s="331">
        <f>+IF(SUM($F79:O79)&gt;=P144*$F$5,0,P79)</f>
        <v>0</v>
      </c>
      <c r="Q13" s="331">
        <f>+IF(SUM($F79:P79)&gt;=Q144*$F$5,0,Q79)</f>
        <v>0</v>
      </c>
      <c r="R13" s="331">
        <f>+IF(SUM($F79:Q79)&gt;=R144*$F$5,0,R79)</f>
        <v>0</v>
      </c>
      <c r="S13" s="331">
        <f>+IF(SUM($F79:R79)&gt;=S144*$F$5,0,S79)</f>
        <v>0</v>
      </c>
      <c r="T13" s="331">
        <f>+IF(SUM($F79:S79)&gt;=T144*$F$5,0,T79)</f>
        <v>0</v>
      </c>
      <c r="U13" s="331">
        <f>+IF(SUM($F79:T79)&gt;=U144*$F$5,0,U79)</f>
        <v>0</v>
      </c>
      <c r="V13" s="331">
        <f>+IF(SUM($F79:U79)&gt;=V144*$F$5,0,V79)</f>
        <v>0</v>
      </c>
      <c r="W13" s="331">
        <f>+IF(SUM($F79:V79)&gt;=W144*$F$5,0,W79)</f>
        <v>0</v>
      </c>
      <c r="X13" s="331">
        <f>+IF(SUM($F79:W79)&gt;=X144*$F$5,0,X79)</f>
        <v>0</v>
      </c>
      <c r="Y13" s="331">
        <f>+IF(SUM($F79:X79)&gt;=Y144*$F$5,0,Y79)</f>
        <v>0</v>
      </c>
      <c r="Z13" s="331">
        <f>+IF(SUM($F79:Y79)&gt;=Z144*$F$5,0,Z79)</f>
        <v>0</v>
      </c>
      <c r="AA13" s="331">
        <f>+IF(SUM($F79:Z79)&gt;=AA144*$F$5,0,AA79)</f>
        <v>0</v>
      </c>
      <c r="AB13" s="331">
        <f>+IF(SUM($F79:AA79)&gt;=AB144*$F$5,0,AB79)</f>
        <v>0</v>
      </c>
      <c r="AC13" s="331">
        <f>+IF(SUM($F79:AB79)&gt;=AC144*$F$5,0,AC79)</f>
        <v>0</v>
      </c>
      <c r="AD13" s="331">
        <f>+IF(SUM($F79:AC79)&gt;=AD144*$F$5,0,AD79)</f>
        <v>0</v>
      </c>
      <c r="AE13" s="331">
        <f>+IF(SUM($F79:AD79)&gt;=AE144*$F$5,0,AE79)</f>
        <v>0</v>
      </c>
      <c r="AF13" s="331">
        <f>+IF(SUM($F79:AE79)&gt;=AF144*$F$5,0,AF79)</f>
        <v>0</v>
      </c>
      <c r="AG13" s="331">
        <f>+IF(SUM($F79:AF79)&gt;=AG144*$F$5,0,AG79)</f>
        <v>0</v>
      </c>
      <c r="AH13" s="331">
        <f>+IF(SUM($F79:AG79)&gt;=AH144*$F$5,0,AH79)</f>
        <v>0</v>
      </c>
      <c r="AI13" s="331">
        <f>+IF(SUM($F79:AH79)&gt;=AI144*$F$5,0,AI79)</f>
        <v>0</v>
      </c>
      <c r="AJ13" s="331">
        <f>+IF(SUM($F79:AI79)&gt;=AJ144*$F$5,0,AJ79)</f>
        <v>0</v>
      </c>
      <c r="AK13" s="331">
        <f>+IF(SUM($F79:AJ79)&gt;=AK144*$F$5,0,AK79)</f>
        <v>0</v>
      </c>
      <c r="AL13" s="331">
        <f>+IF(SUM($F79:AK79)&gt;=AL144*$F$5,0,AL79)</f>
        <v>0</v>
      </c>
      <c r="AM13" s="331">
        <f>+IF(SUM($F79:AL79)&gt;=AM144*$F$5,0,AM79)</f>
        <v>0</v>
      </c>
      <c r="AN13" s="331">
        <f>+IF(SUM($F79:AM79)&gt;=AN144*$F$5,0,AN79)</f>
        <v>0</v>
      </c>
      <c r="AO13" s="331">
        <f>+IF(SUM($F79:AN79)&gt;=AO144*$F$5,0,AO79)</f>
        <v>0</v>
      </c>
      <c r="AP13" s="331">
        <f>+IF(SUM($F79:AO79)&gt;=AP144*$F$5,0,AP79)</f>
        <v>0</v>
      </c>
      <c r="AQ13" s="331">
        <f>+IF(SUM($F79:AP79)&gt;=AQ144*$F$5,0,AQ79)</f>
        <v>0</v>
      </c>
      <c r="AR13" s="331">
        <f>+IF(SUM($F79:AQ79)&gt;=AR144*$F$5,0,AR79)</f>
        <v>0</v>
      </c>
      <c r="AS13" s="331">
        <f>+IF(SUM($F79:AR79)&gt;=AS144*$F$5,0,AS79)</f>
        <v>0</v>
      </c>
      <c r="AT13" s="331">
        <f>+IF(SUM($F79:AS79)&gt;=AT144*$F$5,0,AT79)</f>
        <v>0</v>
      </c>
      <c r="AU13" s="331">
        <f>+IF(SUM($F79:AT79)&gt;=AU144*$F$5,0,AU79)</f>
        <v>0</v>
      </c>
      <c r="AV13" s="331">
        <f>+IF(SUM($F79:AU79)&gt;=AV144*$F$5,0,AV79)</f>
        <v>0</v>
      </c>
      <c r="AW13" s="331">
        <f>+IF(SUM($F79:AV79)&gt;=AW144*$F$5,0,AW79)</f>
        <v>0</v>
      </c>
      <c r="AX13" s="331">
        <f>+IF(SUM($F79:AW79)&gt;=AX144*$F$5,0,AX79)</f>
        <v>0</v>
      </c>
      <c r="AY13" s="331">
        <f>+IF(SUM($F79:AX79)&gt;=AY144*$F$5,0,AY79)</f>
        <v>0</v>
      </c>
      <c r="AZ13" s="331">
        <f>+IF(SUM($F79:AY79)&gt;=AZ144*$F$5,0,AZ79)</f>
        <v>0</v>
      </c>
      <c r="BA13" s="331">
        <f>+IF(SUM($F79:AZ79)&gt;=BA144*$F$5,0,BA79)</f>
        <v>0</v>
      </c>
      <c r="BB13" s="331">
        <f>+IF(SUM($F79:BA79)&gt;=BB144*$F$5,0,BB79)</f>
        <v>0</v>
      </c>
      <c r="BC13" s="331">
        <f>+IF(SUM($F79:BB79)&gt;=BC144*$F$5,0,BC79)</f>
        <v>0</v>
      </c>
      <c r="BD13" s="331">
        <f>+IF(SUM($F79:BC79)&gt;=BD144*$F$5,0,BD79)</f>
        <v>0</v>
      </c>
      <c r="BE13" s="331">
        <f>+IF(SUM($F79:BD79)&gt;=BE144*$F$5,0,BE79)</f>
        <v>0</v>
      </c>
      <c r="BF13" s="331">
        <f>+IF(SUM($F79:BE79)&gt;=BF144*$F$5,0,BF79)</f>
        <v>0</v>
      </c>
      <c r="BG13" s="331">
        <f>+IF(SUM($F79:BF79)&gt;=BG144*$F$5,0,BG79)</f>
        <v>0</v>
      </c>
      <c r="BH13" s="331">
        <f>+IF(SUM($F79:BG79)&gt;=BH144*$F$5,0,BH79)</f>
        <v>0</v>
      </c>
      <c r="BI13" s="331">
        <f>+IF(SUM($F79:BH79)&gt;=BI144*$F$5,0,BI79)</f>
        <v>0</v>
      </c>
      <c r="BJ13" s="331">
        <f>+IF(SUM($F79:BI79)&gt;=BJ144*$F$5,0,BJ79)</f>
        <v>0</v>
      </c>
      <c r="BK13" s="331">
        <f>+IF(SUM($F79:BJ79)&gt;=BK144*$F$5,0,BK79)</f>
        <v>0</v>
      </c>
      <c r="BL13" s="331">
        <f>+IF(SUM($F79:BK79)&gt;=BL144*$F$5,0,BL79)</f>
        <v>0</v>
      </c>
      <c r="BM13" s="331">
        <f>+IF(SUM($F79:BL79)&gt;=BM144*$F$5,0,BM79)</f>
        <v>0</v>
      </c>
    </row>
    <row r="14" spans="2:65" ht="15.75">
      <c r="B14" s="2">
        <f>70*40*4</f>
        <v>11200</v>
      </c>
      <c r="E14" s="416">
        <f>+E13+31</f>
        <v>43497</v>
      </c>
      <c r="F14" s="331">
        <f aca="true" t="shared" si="11" ref="F14:F72">+F145</f>
        <v>0</v>
      </c>
      <c r="G14" s="331">
        <f>+IF(SUM($F80:F80)&gt;=G145*$F$5,0,G80)</f>
        <v>0</v>
      </c>
      <c r="H14" s="331">
        <f>+IF(SUM($F80:G80)&gt;=H145*$F$5,0,H80)</f>
        <v>0</v>
      </c>
      <c r="I14" s="331">
        <f>+IF(SUM($F80:H80)&gt;=I145*$F$5,0,I80)</f>
        <v>0</v>
      </c>
      <c r="J14" s="331">
        <f>+IF(SUM($F80:I80)&gt;=J145*$F$5,0,J80)</f>
        <v>0</v>
      </c>
      <c r="K14" s="331">
        <f>+IF(SUM($F80:J80)&gt;=K145*$F$5,0,K80)</f>
        <v>0</v>
      </c>
      <c r="L14" s="331">
        <f>+IF(SUM($F80:K80)&gt;=L145*$F$5,0,L80)</f>
        <v>0</v>
      </c>
      <c r="M14" s="331">
        <f>+IF(SUM($F80:L80)&gt;=M145*$F$5,0,M80)</f>
        <v>0</v>
      </c>
      <c r="N14" s="331">
        <f>+IF(SUM($F80:M80)&gt;=N145*$F$5,0,N80)</f>
        <v>0</v>
      </c>
      <c r="O14" s="331">
        <f>+IF(SUM($F80:N80)&gt;=O145*$F$5,0,O80)</f>
        <v>0</v>
      </c>
      <c r="P14" s="331">
        <f>+IF(SUM($F80:O80)&gt;=P145*$F$5,0,P80)</f>
        <v>0</v>
      </c>
      <c r="Q14" s="331">
        <f>+IF(SUM($F80:P80)&gt;=Q145*$F$5,0,Q80)</f>
        <v>0</v>
      </c>
      <c r="R14" s="331">
        <f>+IF(SUM($F80:Q80)&gt;=R145*$F$5,0,R80)</f>
        <v>0</v>
      </c>
      <c r="S14" s="331">
        <f>+IF(SUM($F80:R80)&gt;=S145*$F$5,0,S80)</f>
        <v>0</v>
      </c>
      <c r="T14" s="331">
        <f>+IF(SUM($F80:S80)&gt;=T145*$F$5,0,T80)</f>
        <v>0</v>
      </c>
      <c r="U14" s="331">
        <f>+IF(SUM($F80:T80)&gt;=U145*$F$5,0,U80)</f>
        <v>0</v>
      </c>
      <c r="V14" s="331">
        <f>+IF(SUM($F80:U80)&gt;=V145*$F$5,0,V80)</f>
        <v>0</v>
      </c>
      <c r="W14" s="331">
        <f>+IF(SUM($F80:V80)&gt;=W145*$F$5,0,W80)</f>
        <v>0</v>
      </c>
      <c r="X14" s="331">
        <f>+IF(SUM($F80:W80)&gt;=X145*$F$5,0,X80)</f>
        <v>0</v>
      </c>
      <c r="Y14" s="331">
        <f>+IF(SUM($F80:X80)&gt;=Y145*$F$5,0,Y80)</f>
        <v>0</v>
      </c>
      <c r="Z14" s="331">
        <f>+IF(SUM($F80:Y80)&gt;=Z145*$F$5,0,Z80)</f>
        <v>0</v>
      </c>
      <c r="AA14" s="331">
        <f>+IF(SUM($F80:Z80)&gt;=AA145*$F$5,0,AA80)</f>
        <v>0</v>
      </c>
      <c r="AB14" s="331">
        <f>+IF(SUM($F80:AA80)&gt;=AB145*$F$5,0,AB80)</f>
        <v>0</v>
      </c>
      <c r="AC14" s="331">
        <f>+IF(SUM($F80:AB80)&gt;=AC145*$F$5,0,AC80)</f>
        <v>0</v>
      </c>
      <c r="AD14" s="331">
        <f>+IF(SUM($F80:AC80)&gt;=AD145*$F$5,0,AD80)</f>
        <v>0</v>
      </c>
      <c r="AE14" s="331">
        <f>+IF(SUM($F80:AD80)&gt;=AE145*$F$5,0,AE80)</f>
        <v>0</v>
      </c>
      <c r="AF14" s="331">
        <f>+IF(SUM($F80:AE80)&gt;=AF145*$F$5,0,AF80)</f>
        <v>0</v>
      </c>
      <c r="AG14" s="331">
        <f>+IF(SUM($F80:AF80)&gt;=AG145*$F$5,0,AG80)</f>
        <v>0</v>
      </c>
      <c r="AH14" s="331">
        <f>+IF(SUM($F80:AG80)&gt;=AH145*$F$5,0,AH80)</f>
        <v>0</v>
      </c>
      <c r="AI14" s="331">
        <f>+IF(SUM($F80:AH80)&gt;=AI145*$F$5,0,AI80)</f>
        <v>0</v>
      </c>
      <c r="AJ14" s="331">
        <f>+IF(SUM($F80:AI80)&gt;=AJ145*$F$5,0,AJ80)</f>
        <v>0</v>
      </c>
      <c r="AK14" s="331">
        <f>+IF(SUM($F80:AJ80)&gt;=AK145*$F$5,0,AK80)</f>
        <v>0</v>
      </c>
      <c r="AL14" s="331">
        <f>+IF(SUM($F80:AK80)&gt;=AL145*$F$5,0,AL80)</f>
        <v>0</v>
      </c>
      <c r="AM14" s="331">
        <f>+IF(SUM($F80:AL80)&gt;=AM145*$F$5,0,AM80)</f>
        <v>0</v>
      </c>
      <c r="AN14" s="331">
        <f>+IF(SUM($F80:AM80)&gt;=AN145*$F$5,0,AN80)</f>
        <v>0</v>
      </c>
      <c r="AO14" s="331">
        <f>+IF(SUM($F80:AN80)&gt;=AO145*$F$5,0,AO80)</f>
        <v>0</v>
      </c>
      <c r="AP14" s="331">
        <f>+IF(SUM($F80:AO80)&gt;=AP145*$F$5,0,AP80)</f>
        <v>0</v>
      </c>
      <c r="AQ14" s="331">
        <f>+IF(SUM($F80:AP80)&gt;=AQ145*$F$5,0,AQ80)</f>
        <v>0</v>
      </c>
      <c r="AR14" s="331">
        <f>+IF(SUM($F80:AQ80)&gt;=AR145*$F$5,0,AR80)</f>
        <v>0</v>
      </c>
      <c r="AS14" s="331">
        <f>+IF(SUM($F80:AR80)&gt;=AS145*$F$5,0,AS80)</f>
        <v>0</v>
      </c>
      <c r="AT14" s="331">
        <f>+IF(SUM($F80:AS80)&gt;=AT145*$F$5,0,AT80)</f>
        <v>0</v>
      </c>
      <c r="AU14" s="331">
        <f>+IF(SUM($F80:AT80)&gt;=AU145*$F$5,0,AU80)</f>
        <v>0</v>
      </c>
      <c r="AV14" s="331">
        <f>+IF(SUM($F80:AU80)&gt;=AV145*$F$5,0,AV80)</f>
        <v>0</v>
      </c>
      <c r="AW14" s="331">
        <f>+IF(SUM($F80:AV80)&gt;=AW145*$F$5,0,AW80)</f>
        <v>0</v>
      </c>
      <c r="AX14" s="331">
        <f>+IF(SUM($F80:AW80)&gt;=AX145*$F$5,0,AX80)</f>
        <v>0</v>
      </c>
      <c r="AY14" s="331">
        <f>+IF(SUM($F80:AX80)&gt;=AY145*$F$5,0,AY80)</f>
        <v>0</v>
      </c>
      <c r="AZ14" s="331">
        <f>+IF(SUM($F80:AY80)&gt;=AZ145*$F$5,0,AZ80)</f>
        <v>0</v>
      </c>
      <c r="BA14" s="331">
        <f>+IF(SUM($F80:AZ80)&gt;=BA145*$F$5,0,BA80)</f>
        <v>0</v>
      </c>
      <c r="BB14" s="331">
        <f>+IF(SUM($F80:BA80)&gt;=BB145*$F$5,0,BB80)</f>
        <v>0</v>
      </c>
      <c r="BC14" s="331">
        <f>+IF(SUM($F80:BB80)&gt;=BC145*$F$5,0,BC80)</f>
        <v>0</v>
      </c>
      <c r="BD14" s="331">
        <f>+IF(SUM($F80:BC80)&gt;=BD145*$F$5,0,BD80)</f>
        <v>0</v>
      </c>
      <c r="BE14" s="331">
        <f>+IF(SUM($F80:BD80)&gt;=BE145*$F$5,0,BE80)</f>
        <v>0</v>
      </c>
      <c r="BF14" s="331">
        <f>+IF(SUM($F80:BE80)&gt;=BF145*$F$5,0,BF80)</f>
        <v>0</v>
      </c>
      <c r="BG14" s="331">
        <f>+IF(SUM($F80:BF80)&gt;=BG145*$F$5,0,BG80)</f>
        <v>0</v>
      </c>
      <c r="BH14" s="331">
        <f>+IF(SUM($F80:BG80)&gt;=BH145*$F$5,0,BH80)</f>
        <v>0</v>
      </c>
      <c r="BI14" s="331">
        <f>+IF(SUM($F80:BH80)&gt;=BI145*$F$5,0,BI80)</f>
        <v>0</v>
      </c>
      <c r="BJ14" s="331">
        <f>+IF(SUM($F80:BI80)&gt;=BJ145*$F$5,0,BJ80)</f>
        <v>0</v>
      </c>
      <c r="BK14" s="331">
        <f>+IF(SUM($F80:BJ80)&gt;=BK145*$F$5,0,BK80)</f>
        <v>0</v>
      </c>
      <c r="BL14" s="331">
        <f>+IF(SUM($F80:BK80)&gt;=BL145*$F$5,0,BL80)</f>
        <v>0</v>
      </c>
      <c r="BM14" s="331">
        <f>+IF(SUM($F80:BL80)&gt;=BM145*$F$5,0,BM80)</f>
        <v>0</v>
      </c>
    </row>
    <row r="15" spans="5:65" ht="15.75">
      <c r="E15" s="416">
        <f aca="true" t="shared" si="12" ref="E15:E72">+E14+31</f>
        <v>43528</v>
      </c>
      <c r="F15" s="331">
        <f t="shared" si="11"/>
        <v>0</v>
      </c>
      <c r="G15" s="331">
        <f>+IF(SUM($F81:F81)&gt;=G146*$F$5,0,G81)</f>
        <v>0</v>
      </c>
      <c r="H15" s="331">
        <f>+IF(SUM($F81:G81)&gt;=H146*$F$5,0,H81)</f>
        <v>0</v>
      </c>
      <c r="I15" s="331">
        <f>+IF(SUM($F81:H81)&gt;=I146*$F$5,0,I81)</f>
        <v>0</v>
      </c>
      <c r="J15" s="331">
        <f>+IF(SUM($F81:I81)&gt;=J146*$F$5,0,J81)</f>
        <v>0</v>
      </c>
      <c r="K15" s="331">
        <f>+IF(SUM($F81:J81)&gt;=K146*$F$5,0,K81)</f>
        <v>0</v>
      </c>
      <c r="L15" s="331">
        <f>+IF(SUM($F81:K81)&gt;=L146*$F$5,0,L81)</f>
        <v>0</v>
      </c>
      <c r="M15" s="331">
        <f>+IF(SUM($F81:L81)&gt;=M146*$F$5,0,M81)</f>
        <v>0</v>
      </c>
      <c r="N15" s="331">
        <f>+IF(SUM($F81:M81)&gt;=N146*$F$5,0,N81)</f>
        <v>0</v>
      </c>
      <c r="O15" s="331">
        <f>+IF(SUM($F81:N81)&gt;=O146*$F$5,0,O81)</f>
        <v>0</v>
      </c>
      <c r="P15" s="331">
        <f>+IF(SUM($F81:O81)&gt;=P146*$F$5,0,P81)</f>
        <v>0</v>
      </c>
      <c r="Q15" s="331">
        <f>+IF(SUM($F81:P81)&gt;=Q146*$F$5,0,Q81)</f>
        <v>0</v>
      </c>
      <c r="R15" s="331">
        <f>+IF(SUM($F81:Q81)&gt;=R146*$F$5,0,R81)</f>
        <v>0</v>
      </c>
      <c r="S15" s="331">
        <f>+IF(SUM($F81:R81)&gt;=S146*$F$5,0,S81)</f>
        <v>0</v>
      </c>
      <c r="T15" s="331">
        <f>+IF(SUM($F81:S81)&gt;=T146*$F$5,0,T81)</f>
        <v>0</v>
      </c>
      <c r="U15" s="331">
        <f>+IF(SUM($F81:T81)&gt;=U146*$F$5,0,U81)</f>
        <v>0</v>
      </c>
      <c r="V15" s="331">
        <f>+IF(SUM($F81:U81)&gt;=V146*$F$5,0,V81)</f>
        <v>0</v>
      </c>
      <c r="W15" s="331">
        <f>+IF(SUM($F81:V81)&gt;=W146*$F$5,0,W81)</f>
        <v>0</v>
      </c>
      <c r="X15" s="331">
        <f>+IF(SUM($F81:W81)&gt;=X146*$F$5,0,X81)</f>
        <v>0</v>
      </c>
      <c r="Y15" s="331">
        <f>+IF(SUM($F81:X81)&gt;=Y146*$F$5,0,Y81)</f>
        <v>0</v>
      </c>
      <c r="Z15" s="331">
        <f>+IF(SUM($F81:Y81)&gt;=Z146*$F$5,0,Z81)</f>
        <v>0</v>
      </c>
      <c r="AA15" s="331">
        <f>+IF(SUM($F81:Z81)&gt;=AA146*$F$5,0,AA81)</f>
        <v>0</v>
      </c>
      <c r="AB15" s="331">
        <f>+IF(SUM($F81:AA81)&gt;=AB146*$F$5,0,AB81)</f>
        <v>0</v>
      </c>
      <c r="AC15" s="331">
        <f>+IF(SUM($F81:AB81)&gt;=AC146*$F$5,0,AC81)</f>
        <v>0</v>
      </c>
      <c r="AD15" s="331">
        <f>+IF(SUM($F81:AC81)&gt;=AD146*$F$5,0,AD81)</f>
        <v>0</v>
      </c>
      <c r="AE15" s="331">
        <f>+IF(SUM($F81:AD81)&gt;=AE146*$F$5,0,AE81)</f>
        <v>0</v>
      </c>
      <c r="AF15" s="331">
        <f>+IF(SUM($F81:AE81)&gt;=AF146*$F$5,0,AF81)</f>
        <v>0</v>
      </c>
      <c r="AG15" s="331">
        <f>+IF(SUM($F81:AF81)&gt;=AG146*$F$5,0,AG81)</f>
        <v>0</v>
      </c>
      <c r="AH15" s="331">
        <f>+IF(SUM($F81:AG81)&gt;=AH146*$F$5,0,AH81)</f>
        <v>0</v>
      </c>
      <c r="AI15" s="331">
        <f>+IF(SUM($F81:AH81)&gt;=AI146*$F$5,0,AI81)</f>
        <v>0</v>
      </c>
      <c r="AJ15" s="331">
        <f>+IF(SUM($F81:AI81)&gt;=AJ146*$F$5,0,AJ81)</f>
        <v>0</v>
      </c>
      <c r="AK15" s="331">
        <f>+IF(SUM($F81:AJ81)&gt;=AK146*$F$5,0,AK81)</f>
        <v>0</v>
      </c>
      <c r="AL15" s="331">
        <f>+IF(SUM($F81:AK81)&gt;=AL146*$F$5,0,AL81)</f>
        <v>0</v>
      </c>
      <c r="AM15" s="331">
        <f>+IF(SUM($F81:AL81)&gt;=AM146*$F$5,0,AM81)</f>
        <v>0</v>
      </c>
      <c r="AN15" s="331">
        <f>+IF(SUM($F81:AM81)&gt;=AN146*$F$5,0,AN81)</f>
        <v>0</v>
      </c>
      <c r="AO15" s="331">
        <f>+IF(SUM($F81:AN81)&gt;=AO146*$F$5,0,AO81)</f>
        <v>0</v>
      </c>
      <c r="AP15" s="331">
        <f>+IF(SUM($F81:AO81)&gt;=AP146*$F$5,0,AP81)</f>
        <v>0</v>
      </c>
      <c r="AQ15" s="331">
        <f>+IF(SUM($F81:AP81)&gt;=AQ146*$F$5,0,AQ81)</f>
        <v>0</v>
      </c>
      <c r="AR15" s="331">
        <f>+IF(SUM($F81:AQ81)&gt;=AR146*$F$5,0,AR81)</f>
        <v>0</v>
      </c>
      <c r="AS15" s="331">
        <f>+IF(SUM($F81:AR81)&gt;=AS146*$F$5,0,AS81)</f>
        <v>0</v>
      </c>
      <c r="AT15" s="331">
        <f>+IF(SUM($F81:AS81)&gt;=AT146*$F$5,0,AT81)</f>
        <v>0</v>
      </c>
      <c r="AU15" s="331">
        <f>+IF(SUM($F81:AT81)&gt;=AU146*$F$5,0,AU81)</f>
        <v>0</v>
      </c>
      <c r="AV15" s="331">
        <f>+IF(SUM($F81:AU81)&gt;=AV146*$F$5,0,AV81)</f>
        <v>0</v>
      </c>
      <c r="AW15" s="331">
        <f>+IF(SUM($F81:AV81)&gt;=AW146*$F$5,0,AW81)</f>
        <v>0</v>
      </c>
      <c r="AX15" s="331">
        <f>+IF(SUM($F81:AW81)&gt;=AX146*$F$5,0,AX81)</f>
        <v>0</v>
      </c>
      <c r="AY15" s="331">
        <f>+IF(SUM($F81:AX81)&gt;=AY146*$F$5,0,AY81)</f>
        <v>0</v>
      </c>
      <c r="AZ15" s="331">
        <f>+IF(SUM($F81:AY81)&gt;=AZ146*$F$5,0,AZ81)</f>
        <v>0</v>
      </c>
      <c r="BA15" s="331">
        <f>+IF(SUM($F81:AZ81)&gt;=BA146*$F$5,0,BA81)</f>
        <v>0</v>
      </c>
      <c r="BB15" s="331">
        <f>+IF(SUM($F81:BA81)&gt;=BB146*$F$5,0,BB81)</f>
        <v>0</v>
      </c>
      <c r="BC15" s="331">
        <f>+IF(SUM($F81:BB81)&gt;=BC146*$F$5,0,BC81)</f>
        <v>0</v>
      </c>
      <c r="BD15" s="331">
        <f>+IF(SUM($F81:BC81)&gt;=BD146*$F$5,0,BD81)</f>
        <v>0</v>
      </c>
      <c r="BE15" s="331">
        <f>+IF(SUM($F81:BD81)&gt;=BE146*$F$5,0,BE81)</f>
        <v>0</v>
      </c>
      <c r="BF15" s="331">
        <f>+IF(SUM($F81:BE81)&gt;=BF146*$F$5,0,BF81)</f>
        <v>0</v>
      </c>
      <c r="BG15" s="331">
        <f>+IF(SUM($F81:BF81)&gt;=BG146*$F$5,0,BG81)</f>
        <v>0</v>
      </c>
      <c r="BH15" s="331">
        <f>+IF(SUM($F81:BG81)&gt;=BH146*$F$5,0,BH81)</f>
        <v>0</v>
      </c>
      <c r="BI15" s="331">
        <f>+IF(SUM($F81:BH81)&gt;=BI146*$F$5,0,BI81)</f>
        <v>0</v>
      </c>
      <c r="BJ15" s="331">
        <f>+IF(SUM($F81:BI81)&gt;=BJ146*$F$5,0,BJ81)</f>
        <v>0</v>
      </c>
      <c r="BK15" s="331">
        <f>+IF(SUM($F81:BJ81)&gt;=BK146*$F$5,0,BK81)</f>
        <v>0</v>
      </c>
      <c r="BL15" s="331">
        <f>+IF(SUM($F81:BK81)&gt;=BL146*$F$5,0,BL81)</f>
        <v>0</v>
      </c>
      <c r="BM15" s="331">
        <f>+IF(SUM($F81:BL81)&gt;=BM146*$F$5,0,BM81)</f>
        <v>0</v>
      </c>
    </row>
    <row r="16" spans="5:65" ht="15.75">
      <c r="E16" s="416">
        <f t="shared" si="12"/>
        <v>43559</v>
      </c>
      <c r="F16" s="331">
        <f t="shared" si="11"/>
        <v>0</v>
      </c>
      <c r="G16" s="331">
        <f>+IF(SUM($F82:F82)&gt;=G147*$F$5,0,G82)</f>
        <v>0</v>
      </c>
      <c r="H16" s="331">
        <f>+IF(SUM($F82:G82)&gt;=H147*$F$5,0,H82)</f>
        <v>0</v>
      </c>
      <c r="I16" s="331">
        <f>+IF(SUM($F82:H82)&gt;=I147*$F$5,0,I82)</f>
        <v>0</v>
      </c>
      <c r="J16" s="331">
        <f>+IF(SUM($F82:I82)&gt;=J147*$F$5,0,J82)</f>
        <v>0</v>
      </c>
      <c r="K16" s="331">
        <f>+IF(SUM($F82:J82)&gt;=K147*$F$5,0,K82)</f>
        <v>0</v>
      </c>
      <c r="L16" s="331">
        <f>+IF(SUM($F82:K82)&gt;=L147*$F$5,0,L82)</f>
        <v>0</v>
      </c>
      <c r="M16" s="331">
        <f>+IF(SUM($F82:L82)&gt;=M147*$F$5,0,M82)</f>
        <v>0</v>
      </c>
      <c r="N16" s="331">
        <f>+IF(SUM($F82:M82)&gt;=N147*$F$5,0,N82)</f>
        <v>0</v>
      </c>
      <c r="O16" s="331">
        <f>+IF(SUM($F82:N82)&gt;=O147*$F$5,0,O82)</f>
        <v>0</v>
      </c>
      <c r="P16" s="331">
        <f>+IF(SUM($F82:O82)&gt;=P147*$F$5,0,P82)</f>
        <v>0</v>
      </c>
      <c r="Q16" s="331">
        <f>+IF(SUM($F82:P82)&gt;=Q147*$F$5,0,Q82)</f>
        <v>0</v>
      </c>
      <c r="R16" s="331">
        <f>+IF(SUM($F82:Q82)&gt;=R147*$F$5,0,R82)</f>
        <v>0</v>
      </c>
      <c r="S16" s="331">
        <f>+IF(SUM($F82:R82)&gt;=S147*$F$5,0,S82)</f>
        <v>0</v>
      </c>
      <c r="T16" s="331">
        <f>+IF(SUM($F82:S82)&gt;=T147*$F$5,0,T82)</f>
        <v>0</v>
      </c>
      <c r="U16" s="331">
        <f>+IF(SUM($F82:T82)&gt;=U147*$F$5,0,U82)</f>
        <v>0</v>
      </c>
      <c r="V16" s="331">
        <f>+IF(SUM($F82:U82)&gt;=V147*$F$5,0,V82)</f>
        <v>0</v>
      </c>
      <c r="W16" s="331">
        <f>+IF(SUM($F82:V82)&gt;=W147*$F$5,0,W82)</f>
        <v>0</v>
      </c>
      <c r="X16" s="331">
        <f>+IF(SUM($F82:W82)&gt;=X147*$F$5,0,X82)</f>
        <v>0</v>
      </c>
      <c r="Y16" s="331">
        <f>+IF(SUM($F82:X82)&gt;=Y147*$F$5,0,Y82)</f>
        <v>0</v>
      </c>
      <c r="Z16" s="331">
        <f>+IF(SUM($F82:Y82)&gt;=Z147*$F$5,0,Z82)</f>
        <v>0</v>
      </c>
      <c r="AA16" s="331">
        <f>+IF(SUM($F82:Z82)&gt;=AA147*$F$5,0,AA82)</f>
        <v>0</v>
      </c>
      <c r="AB16" s="331">
        <f>+IF(SUM($F82:AA82)&gt;=AB147*$F$5,0,AB82)</f>
        <v>0</v>
      </c>
      <c r="AC16" s="331">
        <f>+IF(SUM($F82:AB82)&gt;=AC147*$F$5,0,AC82)</f>
        <v>0</v>
      </c>
      <c r="AD16" s="331">
        <f>+IF(SUM($F82:AC82)&gt;=AD147*$F$5,0,AD82)</f>
        <v>0</v>
      </c>
      <c r="AE16" s="331">
        <f>+IF(SUM($F82:AD82)&gt;=AE147*$F$5,0,AE82)</f>
        <v>0</v>
      </c>
      <c r="AF16" s="331">
        <f>+IF(SUM($F82:AE82)&gt;=AF147*$F$5,0,AF82)</f>
        <v>0</v>
      </c>
      <c r="AG16" s="331">
        <f>+IF(SUM($F82:AF82)&gt;=AG147*$F$5,0,AG82)</f>
        <v>0</v>
      </c>
      <c r="AH16" s="331">
        <f>+IF(SUM($F82:AG82)&gt;=AH147*$F$5,0,AH82)</f>
        <v>0</v>
      </c>
      <c r="AI16" s="331">
        <f>+IF(SUM($F82:AH82)&gt;=AI147*$F$5,0,AI82)</f>
        <v>0</v>
      </c>
      <c r="AJ16" s="331">
        <f>+IF(SUM($F82:AI82)&gt;=AJ147*$F$5,0,AJ82)</f>
        <v>0</v>
      </c>
      <c r="AK16" s="331">
        <f>+IF(SUM($F82:AJ82)&gt;=AK147*$F$5,0,AK82)</f>
        <v>0</v>
      </c>
      <c r="AL16" s="331">
        <f>+IF(SUM($F82:AK82)&gt;=AL147*$F$5,0,AL82)</f>
        <v>0</v>
      </c>
      <c r="AM16" s="331">
        <f>+IF(SUM($F82:AL82)&gt;=AM147*$F$5,0,AM82)</f>
        <v>0</v>
      </c>
      <c r="AN16" s="331">
        <f>+IF(SUM($F82:AM82)&gt;=AN147*$F$5,0,AN82)</f>
        <v>0</v>
      </c>
      <c r="AO16" s="331">
        <f>+IF(SUM($F82:AN82)&gt;=AO147*$F$5,0,AO82)</f>
        <v>0</v>
      </c>
      <c r="AP16" s="331">
        <f>+IF(SUM($F82:AO82)&gt;=AP147*$F$5,0,AP82)</f>
        <v>0</v>
      </c>
      <c r="AQ16" s="331">
        <f>+IF(SUM($F82:AP82)&gt;=AQ147*$F$5,0,AQ82)</f>
        <v>0</v>
      </c>
      <c r="AR16" s="331">
        <f>+IF(SUM($F82:AQ82)&gt;=AR147*$F$5,0,AR82)</f>
        <v>0</v>
      </c>
      <c r="AS16" s="331">
        <f>+IF(SUM($F82:AR82)&gt;=AS147*$F$5,0,AS82)</f>
        <v>0</v>
      </c>
      <c r="AT16" s="331">
        <f>+IF(SUM($F82:AS82)&gt;=AT147*$F$5,0,AT82)</f>
        <v>0</v>
      </c>
      <c r="AU16" s="331">
        <f>+IF(SUM($F82:AT82)&gt;=AU147*$F$5,0,AU82)</f>
        <v>0</v>
      </c>
      <c r="AV16" s="331">
        <f>+IF(SUM($F82:AU82)&gt;=AV147*$F$5,0,AV82)</f>
        <v>0</v>
      </c>
      <c r="AW16" s="331">
        <f>+IF(SUM($F82:AV82)&gt;=AW147*$F$5,0,AW82)</f>
        <v>0</v>
      </c>
      <c r="AX16" s="331">
        <f>+IF(SUM($F82:AW82)&gt;=AX147*$F$5,0,AX82)</f>
        <v>0</v>
      </c>
      <c r="AY16" s="331">
        <f>+IF(SUM($F82:AX82)&gt;=AY147*$F$5,0,AY82)</f>
        <v>0</v>
      </c>
      <c r="AZ16" s="331">
        <f>+IF(SUM($F82:AY82)&gt;=AZ147*$F$5,0,AZ82)</f>
        <v>0</v>
      </c>
      <c r="BA16" s="331">
        <f>+IF(SUM($F82:AZ82)&gt;=BA147*$F$5,0,BA82)</f>
        <v>0</v>
      </c>
      <c r="BB16" s="331">
        <f>+IF(SUM($F82:BA82)&gt;=BB147*$F$5,0,BB82)</f>
        <v>0</v>
      </c>
      <c r="BC16" s="331">
        <f>+IF(SUM($F82:BB82)&gt;=BC147*$F$5,0,BC82)</f>
        <v>0</v>
      </c>
      <c r="BD16" s="331">
        <f>+IF(SUM($F82:BC82)&gt;=BD147*$F$5,0,BD82)</f>
        <v>0</v>
      </c>
      <c r="BE16" s="331">
        <f>+IF(SUM($F82:BD82)&gt;=BE147*$F$5,0,BE82)</f>
        <v>0</v>
      </c>
      <c r="BF16" s="331">
        <f>+IF(SUM($F82:BE82)&gt;=BF147*$F$5,0,BF82)</f>
        <v>0</v>
      </c>
      <c r="BG16" s="331">
        <f>+IF(SUM($F82:BF82)&gt;=BG147*$F$5,0,BG82)</f>
        <v>0</v>
      </c>
      <c r="BH16" s="331">
        <f>+IF(SUM($F82:BG82)&gt;=BH147*$F$5,0,BH82)</f>
        <v>0</v>
      </c>
      <c r="BI16" s="331">
        <f>+IF(SUM($F82:BH82)&gt;=BI147*$F$5,0,BI82)</f>
        <v>0</v>
      </c>
      <c r="BJ16" s="331">
        <f>+IF(SUM($F82:BI82)&gt;=BJ147*$F$5,0,BJ82)</f>
        <v>0</v>
      </c>
      <c r="BK16" s="331">
        <f>+IF(SUM($F82:BJ82)&gt;=BK147*$F$5,0,BK82)</f>
        <v>0</v>
      </c>
      <c r="BL16" s="331">
        <f>+IF(SUM($F82:BK82)&gt;=BL147*$F$5,0,BL82)</f>
        <v>0</v>
      </c>
      <c r="BM16" s="331">
        <f>+IF(SUM($F82:BL82)&gt;=BM147*$F$5,0,BM82)</f>
        <v>0</v>
      </c>
    </row>
    <row r="17" spans="3:65" ht="15.75">
      <c r="C17" s="5"/>
      <c r="E17" s="416">
        <f t="shared" si="12"/>
        <v>43590</v>
      </c>
      <c r="F17" s="331">
        <f t="shared" si="11"/>
        <v>0</v>
      </c>
      <c r="G17" s="331">
        <f>+IF(SUM($F83:F83)&gt;=G148*$F$5,0,G83)</f>
        <v>0</v>
      </c>
      <c r="H17" s="331">
        <f>+IF(SUM($F83:G83)&gt;=H148*$F$5,0,H83)</f>
        <v>0</v>
      </c>
      <c r="I17" s="331">
        <f>+IF(SUM($F83:H83)&gt;=I148*$F$5,0,I83)</f>
        <v>0</v>
      </c>
      <c r="J17" s="331">
        <f>+IF(SUM($F83:I83)&gt;=J148*$F$5,0,J83)</f>
        <v>0</v>
      </c>
      <c r="K17" s="331">
        <f>+IF(SUM($F83:J83)&gt;=K148*$F$5,0,K83)</f>
        <v>0</v>
      </c>
      <c r="L17" s="331">
        <f>+IF(SUM($F83:K83)&gt;=L148*$F$5,0,L83)</f>
        <v>0</v>
      </c>
      <c r="M17" s="331">
        <f>+IF(SUM($F83:L83)&gt;=M148*$F$5,0,M83)</f>
        <v>0</v>
      </c>
      <c r="N17" s="331">
        <f>+IF(SUM($F83:M83)&gt;=N148*$F$5,0,N83)</f>
        <v>0</v>
      </c>
      <c r="O17" s="331">
        <f>+IF(SUM($F83:N83)&gt;=O148*$F$5,0,O83)</f>
        <v>0</v>
      </c>
      <c r="P17" s="331">
        <f>+IF(SUM($F83:O83)&gt;=P148*$F$5,0,P83)</f>
        <v>0</v>
      </c>
      <c r="Q17" s="331">
        <f>+IF(SUM($F83:P83)&gt;=Q148*$F$5,0,Q83)</f>
        <v>0</v>
      </c>
      <c r="R17" s="331">
        <f>+IF(SUM($F83:Q83)&gt;=R148*$F$5,0,R83)</f>
        <v>0</v>
      </c>
      <c r="S17" s="331">
        <f>+IF(SUM($F83:R83)&gt;=S148*$F$5,0,S83)</f>
        <v>0</v>
      </c>
      <c r="T17" s="331">
        <f>+IF(SUM($F83:S83)&gt;=T148*$F$5,0,T83)</f>
        <v>0</v>
      </c>
      <c r="U17" s="331">
        <f>+IF(SUM($F83:T83)&gt;=U148*$F$5,0,U83)</f>
        <v>0</v>
      </c>
      <c r="V17" s="331">
        <f>+IF(SUM($F83:U83)&gt;=V148*$F$5,0,V83)</f>
        <v>0</v>
      </c>
      <c r="W17" s="331">
        <f>+IF(SUM($F83:V83)&gt;=W148*$F$5,0,W83)</f>
        <v>0</v>
      </c>
      <c r="X17" s="331">
        <f>+IF(SUM($F83:W83)&gt;=X148*$F$5,0,X83)</f>
        <v>0</v>
      </c>
      <c r="Y17" s="331">
        <f>+IF(SUM($F83:X83)&gt;=Y148*$F$5,0,Y83)</f>
        <v>0</v>
      </c>
      <c r="Z17" s="331">
        <f>+IF(SUM($F83:Y83)&gt;=Z148*$F$5,0,Z83)</f>
        <v>0</v>
      </c>
      <c r="AA17" s="331">
        <f>+IF(SUM($F83:Z83)&gt;=AA148*$F$5,0,AA83)</f>
        <v>0</v>
      </c>
      <c r="AB17" s="331">
        <f>+IF(SUM($F83:AA83)&gt;=AB148*$F$5,0,AB83)</f>
        <v>0</v>
      </c>
      <c r="AC17" s="331">
        <f>+IF(SUM($F83:AB83)&gt;=AC148*$F$5,0,AC83)</f>
        <v>0</v>
      </c>
      <c r="AD17" s="331">
        <f>+IF(SUM($F83:AC83)&gt;=AD148*$F$5,0,AD83)</f>
        <v>0</v>
      </c>
      <c r="AE17" s="331">
        <f>+IF(SUM($F83:AD83)&gt;=AE148*$F$5,0,AE83)</f>
        <v>0</v>
      </c>
      <c r="AF17" s="331">
        <f>+IF(SUM($F83:AE83)&gt;=AF148*$F$5,0,AF83)</f>
        <v>0</v>
      </c>
      <c r="AG17" s="331">
        <f>+IF(SUM($F83:AF83)&gt;=AG148*$F$5,0,AG83)</f>
        <v>0</v>
      </c>
      <c r="AH17" s="331">
        <f>+IF(SUM($F83:AG83)&gt;=AH148*$F$5,0,AH83)</f>
        <v>0</v>
      </c>
      <c r="AI17" s="331">
        <f>+IF(SUM($F83:AH83)&gt;=AI148*$F$5,0,AI83)</f>
        <v>0</v>
      </c>
      <c r="AJ17" s="331">
        <f>+IF(SUM($F83:AI83)&gt;=AJ148*$F$5,0,AJ83)</f>
        <v>0</v>
      </c>
      <c r="AK17" s="331">
        <f>+IF(SUM($F83:AJ83)&gt;=AK148*$F$5,0,AK83)</f>
        <v>0</v>
      </c>
      <c r="AL17" s="331">
        <f>+IF(SUM($F83:AK83)&gt;=AL148*$F$5,0,AL83)</f>
        <v>0</v>
      </c>
      <c r="AM17" s="331">
        <f>+IF(SUM($F83:AL83)&gt;=AM148*$F$5,0,AM83)</f>
        <v>0</v>
      </c>
      <c r="AN17" s="331">
        <f>+IF(SUM($F83:AM83)&gt;=AN148*$F$5,0,AN83)</f>
        <v>0</v>
      </c>
      <c r="AO17" s="331">
        <f>+IF(SUM($F83:AN83)&gt;=AO148*$F$5,0,AO83)</f>
        <v>0</v>
      </c>
      <c r="AP17" s="331">
        <f>+IF(SUM($F83:AO83)&gt;=AP148*$F$5,0,AP83)</f>
        <v>0</v>
      </c>
      <c r="AQ17" s="331">
        <f>+IF(SUM($F83:AP83)&gt;=AQ148*$F$5,0,AQ83)</f>
        <v>0</v>
      </c>
      <c r="AR17" s="331">
        <f>+IF(SUM($F83:AQ83)&gt;=AR148*$F$5,0,AR83)</f>
        <v>0</v>
      </c>
      <c r="AS17" s="331">
        <f>+IF(SUM($F83:AR83)&gt;=AS148*$F$5,0,AS83)</f>
        <v>0</v>
      </c>
      <c r="AT17" s="331">
        <f>+IF(SUM($F83:AS83)&gt;=AT148*$F$5,0,AT83)</f>
        <v>0</v>
      </c>
      <c r="AU17" s="331">
        <f>+IF(SUM($F83:AT83)&gt;=AU148*$F$5,0,AU83)</f>
        <v>0</v>
      </c>
      <c r="AV17" s="331">
        <f>+IF(SUM($F83:AU83)&gt;=AV148*$F$5,0,AV83)</f>
        <v>0</v>
      </c>
      <c r="AW17" s="331">
        <f>+IF(SUM($F83:AV83)&gt;=AW148*$F$5,0,AW83)</f>
        <v>0</v>
      </c>
      <c r="AX17" s="331">
        <f>+IF(SUM($F83:AW83)&gt;=AX148*$F$5,0,AX83)</f>
        <v>0</v>
      </c>
      <c r="AY17" s="331">
        <f>+IF(SUM($F83:AX83)&gt;=AY148*$F$5,0,AY83)</f>
        <v>0</v>
      </c>
      <c r="AZ17" s="331">
        <f>+IF(SUM($F83:AY83)&gt;=AZ148*$F$5,0,AZ83)</f>
        <v>0</v>
      </c>
      <c r="BA17" s="331">
        <f>+IF(SUM($F83:AZ83)&gt;=BA148*$F$5,0,BA83)</f>
        <v>0</v>
      </c>
      <c r="BB17" s="331">
        <f>+IF(SUM($F83:BA83)&gt;=BB148*$F$5,0,BB83)</f>
        <v>0</v>
      </c>
      <c r="BC17" s="331">
        <f>+IF(SUM($F83:BB83)&gt;=BC148*$F$5,0,BC83)</f>
        <v>0</v>
      </c>
      <c r="BD17" s="331">
        <f>+IF(SUM($F83:BC83)&gt;=BD148*$F$5,0,BD83)</f>
        <v>0</v>
      </c>
      <c r="BE17" s="331">
        <f>+IF(SUM($F83:BD83)&gt;=BE148*$F$5,0,BE83)</f>
        <v>0</v>
      </c>
      <c r="BF17" s="331">
        <f>+IF(SUM($F83:BE83)&gt;=BF148*$F$5,0,BF83)</f>
        <v>0</v>
      </c>
      <c r="BG17" s="331">
        <f>+IF(SUM($F83:BF83)&gt;=BG148*$F$5,0,BG83)</f>
        <v>0</v>
      </c>
      <c r="BH17" s="331">
        <f>+IF(SUM($F83:BG83)&gt;=BH148*$F$5,0,BH83)</f>
        <v>0</v>
      </c>
      <c r="BI17" s="331">
        <f>+IF(SUM($F83:BH83)&gt;=BI148*$F$5,0,BI83)</f>
        <v>0</v>
      </c>
      <c r="BJ17" s="331">
        <f>+IF(SUM($F83:BI83)&gt;=BJ148*$F$5,0,BJ83)</f>
        <v>0</v>
      </c>
      <c r="BK17" s="331">
        <f>+IF(SUM($F83:BJ83)&gt;=BK148*$F$5,0,BK83)</f>
        <v>0</v>
      </c>
      <c r="BL17" s="331">
        <f>+IF(SUM($F83:BK83)&gt;=BL148*$F$5,0,BL83)</f>
        <v>0</v>
      </c>
      <c r="BM17" s="331">
        <f>+IF(SUM($F83:BL83)&gt;=BM148*$F$5,0,BM83)</f>
        <v>0</v>
      </c>
    </row>
    <row r="18" spans="5:65" ht="15.75">
      <c r="E18" s="416">
        <f t="shared" si="12"/>
        <v>43621</v>
      </c>
      <c r="F18" s="331">
        <f t="shared" si="11"/>
        <v>0</v>
      </c>
      <c r="G18" s="331">
        <f>+IF(SUM($F84:F84)&gt;=G149*$F$5,0,G84)</f>
        <v>0</v>
      </c>
      <c r="H18" s="331">
        <f>+IF(SUM($F84:G84)&gt;=H149*$F$5,0,H84)</f>
        <v>0</v>
      </c>
      <c r="I18" s="331">
        <f>+IF(SUM($F84:H84)&gt;=I149*$F$5,0,I84)</f>
        <v>0</v>
      </c>
      <c r="J18" s="331">
        <f>+IF(SUM($F84:I84)&gt;=J149*$F$5,0,J84)</f>
        <v>0</v>
      </c>
      <c r="K18" s="331">
        <f>+IF(SUM($F84:J84)&gt;=K149*$F$5,0,K84)</f>
        <v>0</v>
      </c>
      <c r="L18" s="331">
        <f>+IF(SUM($F84:K84)&gt;=L149*$F$5,0,L84)</f>
        <v>0</v>
      </c>
      <c r="M18" s="331">
        <f>+IF(SUM($F84:L84)&gt;=M149*$F$5,0,M84)</f>
        <v>0</v>
      </c>
      <c r="N18" s="331">
        <f>+IF(SUM($F84:M84)&gt;=N149*$F$5,0,N84)</f>
        <v>0</v>
      </c>
      <c r="O18" s="331">
        <f>+IF(SUM($F84:N84)&gt;=O149*$F$5,0,O84)</f>
        <v>0</v>
      </c>
      <c r="P18" s="331">
        <f>+IF(SUM($F84:O84)&gt;=P149*$F$5,0,P84)</f>
        <v>0</v>
      </c>
      <c r="Q18" s="331">
        <f>+IF(SUM($F84:P84)&gt;=Q149*$F$5,0,Q84)</f>
        <v>0</v>
      </c>
      <c r="R18" s="331">
        <f>+IF(SUM($F84:Q84)&gt;=R149*$F$5,0,R84)</f>
        <v>0</v>
      </c>
      <c r="S18" s="331">
        <f>+IF(SUM($F84:R84)&gt;=S149*$F$5,0,S84)</f>
        <v>0</v>
      </c>
      <c r="T18" s="331">
        <f>+IF(SUM($F84:S84)&gt;=T149*$F$5,0,T84)</f>
        <v>0</v>
      </c>
      <c r="U18" s="331">
        <f>+IF(SUM($F84:T84)&gt;=U149*$F$5,0,U84)</f>
        <v>0</v>
      </c>
      <c r="V18" s="331">
        <f>+IF(SUM($F84:U84)&gt;=V149*$F$5,0,V84)</f>
        <v>0</v>
      </c>
      <c r="W18" s="331">
        <f>+IF(SUM($F84:V84)&gt;=W149*$F$5,0,W84)</f>
        <v>0</v>
      </c>
      <c r="X18" s="331">
        <f>+IF(SUM($F84:W84)&gt;=X149*$F$5,0,X84)</f>
        <v>0</v>
      </c>
      <c r="Y18" s="331">
        <f>+IF(SUM($F84:X84)&gt;=Y149*$F$5,0,Y84)</f>
        <v>0</v>
      </c>
      <c r="Z18" s="331">
        <f>+IF(SUM($F84:Y84)&gt;=Z149*$F$5,0,Z84)</f>
        <v>0</v>
      </c>
      <c r="AA18" s="331">
        <f>+IF(SUM($F84:Z84)&gt;=AA149*$F$5,0,AA84)</f>
        <v>0</v>
      </c>
      <c r="AB18" s="331">
        <f>+IF(SUM($F84:AA84)&gt;=AB149*$F$5,0,AB84)</f>
        <v>0</v>
      </c>
      <c r="AC18" s="331">
        <f>+IF(SUM($F84:AB84)&gt;=AC149*$F$5,0,AC84)</f>
        <v>0</v>
      </c>
      <c r="AD18" s="331">
        <f>+IF(SUM($F84:AC84)&gt;=AD149*$F$5,0,AD84)</f>
        <v>0</v>
      </c>
      <c r="AE18" s="331">
        <f>+IF(SUM($F84:AD84)&gt;=AE149*$F$5,0,AE84)</f>
        <v>0</v>
      </c>
      <c r="AF18" s="331">
        <f>+IF(SUM($F84:AE84)&gt;=AF149*$F$5,0,AF84)</f>
        <v>0</v>
      </c>
      <c r="AG18" s="331">
        <f>+IF(SUM($F84:AF84)&gt;=AG149*$F$5,0,AG84)</f>
        <v>0</v>
      </c>
      <c r="AH18" s="331">
        <f>+IF(SUM($F84:AG84)&gt;=AH149*$F$5,0,AH84)</f>
        <v>0</v>
      </c>
      <c r="AI18" s="331">
        <f>+IF(SUM($F84:AH84)&gt;=AI149*$F$5,0,AI84)</f>
        <v>0</v>
      </c>
      <c r="AJ18" s="331">
        <f>+IF(SUM($F84:AI84)&gt;=AJ149*$F$5,0,AJ84)</f>
        <v>0</v>
      </c>
      <c r="AK18" s="331">
        <f>+IF(SUM($F84:AJ84)&gt;=AK149*$F$5,0,AK84)</f>
        <v>0</v>
      </c>
      <c r="AL18" s="331">
        <f>+IF(SUM($F84:AK84)&gt;=AL149*$F$5,0,AL84)</f>
        <v>0</v>
      </c>
      <c r="AM18" s="331">
        <f>+IF(SUM($F84:AL84)&gt;=AM149*$F$5,0,AM84)</f>
        <v>0</v>
      </c>
      <c r="AN18" s="331">
        <f>+IF(SUM($F84:AM84)&gt;=AN149*$F$5,0,AN84)</f>
        <v>0</v>
      </c>
      <c r="AO18" s="331">
        <f>+IF(SUM($F84:AN84)&gt;=AO149*$F$5,0,AO84)</f>
        <v>0</v>
      </c>
      <c r="AP18" s="331">
        <f>+IF(SUM($F84:AO84)&gt;=AP149*$F$5,0,AP84)</f>
        <v>0</v>
      </c>
      <c r="AQ18" s="331">
        <f>+IF(SUM($F84:AP84)&gt;=AQ149*$F$5,0,AQ84)</f>
        <v>0</v>
      </c>
      <c r="AR18" s="331">
        <f>+IF(SUM($F84:AQ84)&gt;=AR149*$F$5,0,AR84)</f>
        <v>0</v>
      </c>
      <c r="AS18" s="331">
        <f>+IF(SUM($F84:AR84)&gt;=AS149*$F$5,0,AS84)</f>
        <v>0</v>
      </c>
      <c r="AT18" s="331">
        <f>+IF(SUM($F84:AS84)&gt;=AT149*$F$5,0,AT84)</f>
        <v>0</v>
      </c>
      <c r="AU18" s="331">
        <f>+IF(SUM($F84:AT84)&gt;=AU149*$F$5,0,AU84)</f>
        <v>0</v>
      </c>
      <c r="AV18" s="331">
        <f>+IF(SUM($F84:AU84)&gt;=AV149*$F$5,0,AV84)</f>
        <v>0</v>
      </c>
      <c r="AW18" s="331">
        <f>+IF(SUM($F84:AV84)&gt;=AW149*$F$5,0,AW84)</f>
        <v>0</v>
      </c>
      <c r="AX18" s="331">
        <f>+IF(SUM($F84:AW84)&gt;=AX149*$F$5,0,AX84)</f>
        <v>0</v>
      </c>
      <c r="AY18" s="331">
        <f>+IF(SUM($F84:AX84)&gt;=AY149*$F$5,0,AY84)</f>
        <v>0</v>
      </c>
      <c r="AZ18" s="331">
        <f>+IF(SUM($F84:AY84)&gt;=AZ149*$F$5,0,AZ84)</f>
        <v>0</v>
      </c>
      <c r="BA18" s="331">
        <f>+IF(SUM($F84:AZ84)&gt;=BA149*$F$5,0,BA84)</f>
        <v>0</v>
      </c>
      <c r="BB18" s="331">
        <f>+IF(SUM($F84:BA84)&gt;=BB149*$F$5,0,BB84)</f>
        <v>0</v>
      </c>
      <c r="BC18" s="331">
        <f>+IF(SUM($F84:BB84)&gt;=BC149*$F$5,0,BC84)</f>
        <v>0</v>
      </c>
      <c r="BD18" s="331">
        <f>+IF(SUM($F84:BC84)&gt;=BD149*$F$5,0,BD84)</f>
        <v>0</v>
      </c>
      <c r="BE18" s="331">
        <f>+IF(SUM($F84:BD84)&gt;=BE149*$F$5,0,BE84)</f>
        <v>0</v>
      </c>
      <c r="BF18" s="331">
        <f>+IF(SUM($F84:BE84)&gt;=BF149*$F$5,0,BF84)</f>
        <v>0</v>
      </c>
      <c r="BG18" s="331">
        <f>+IF(SUM($F84:BF84)&gt;=BG149*$F$5,0,BG84)</f>
        <v>0</v>
      </c>
      <c r="BH18" s="331">
        <f>+IF(SUM($F84:BG84)&gt;=BH149*$F$5,0,BH84)</f>
        <v>0</v>
      </c>
      <c r="BI18" s="331">
        <f>+IF(SUM($F84:BH84)&gt;=BI149*$F$5,0,BI84)</f>
        <v>0</v>
      </c>
      <c r="BJ18" s="331">
        <f>+IF(SUM($F84:BI84)&gt;=BJ149*$F$5,0,BJ84)</f>
        <v>0</v>
      </c>
      <c r="BK18" s="331">
        <f>+IF(SUM($F84:BJ84)&gt;=BK149*$F$5,0,BK84)</f>
        <v>0</v>
      </c>
      <c r="BL18" s="331">
        <f>+IF(SUM($F84:BK84)&gt;=BL149*$F$5,0,BL84)</f>
        <v>0</v>
      </c>
      <c r="BM18" s="331">
        <f>+IF(SUM($F84:BL84)&gt;=BM149*$F$5,0,BM84)</f>
        <v>0</v>
      </c>
    </row>
    <row r="19" spans="5:65" ht="15.75">
      <c r="E19" s="416">
        <f t="shared" si="12"/>
        <v>43652</v>
      </c>
      <c r="F19" s="331">
        <f t="shared" si="11"/>
        <v>0</v>
      </c>
      <c r="G19" s="331">
        <f>+IF(SUM($F85:F85)&gt;=G150*$F$5,0,G85)</f>
        <v>0</v>
      </c>
      <c r="H19" s="331">
        <f>+IF(SUM($F85:G85)&gt;=H150*$F$5,0,H85)</f>
        <v>0</v>
      </c>
      <c r="I19" s="331">
        <f>+IF(SUM($F85:H85)&gt;=I150*$F$5,0,I85)</f>
        <v>0</v>
      </c>
      <c r="J19" s="331">
        <f>+IF(SUM($F85:I85)&gt;=J150*$F$5,0,J85)</f>
        <v>0</v>
      </c>
      <c r="K19" s="331">
        <f>+IF(SUM($F85:J85)&gt;=K150*$F$5,0,K85)</f>
        <v>0</v>
      </c>
      <c r="L19" s="331">
        <f>+IF(SUM($F85:K85)&gt;=L150*$F$5,0,L85)</f>
        <v>0</v>
      </c>
      <c r="M19" s="331">
        <f>+IF(SUM($F85:L85)&gt;=M150*$F$5,0,M85)</f>
        <v>0</v>
      </c>
      <c r="N19" s="331">
        <f>+IF(SUM($F85:M85)&gt;=N150*$F$5,0,N85)</f>
        <v>0</v>
      </c>
      <c r="O19" s="331">
        <f>+IF(SUM($F85:N85)&gt;=O150*$F$5,0,O85)</f>
        <v>0</v>
      </c>
      <c r="P19" s="331">
        <f>+IF(SUM($F85:O85)&gt;=P150*$F$5,0,P85)</f>
        <v>0</v>
      </c>
      <c r="Q19" s="331">
        <f>+IF(SUM($F85:P85)&gt;=Q150*$F$5,0,Q85)</f>
        <v>0</v>
      </c>
      <c r="R19" s="331">
        <f>+IF(SUM($F85:Q85)&gt;=R150*$F$5,0,R85)</f>
        <v>0</v>
      </c>
      <c r="S19" s="331">
        <f>+IF(SUM($F85:R85)&gt;=S150*$F$5,0,S85)</f>
        <v>0</v>
      </c>
      <c r="T19" s="331">
        <f>+IF(SUM($F85:S85)&gt;=T150*$F$5,0,T85)</f>
        <v>0</v>
      </c>
      <c r="U19" s="331">
        <f>+IF(SUM($F85:T85)&gt;=U150*$F$5,0,U85)</f>
        <v>0</v>
      </c>
      <c r="V19" s="331">
        <f>+IF(SUM($F85:U85)&gt;=V150*$F$5,0,V85)</f>
        <v>0</v>
      </c>
      <c r="W19" s="331">
        <f>+IF(SUM($F85:V85)&gt;=W150*$F$5,0,W85)</f>
        <v>0</v>
      </c>
      <c r="X19" s="331">
        <f>+IF(SUM($F85:W85)&gt;=X150*$F$5,0,X85)</f>
        <v>0</v>
      </c>
      <c r="Y19" s="331">
        <f>+IF(SUM($F85:X85)&gt;=Y150*$F$5,0,Y85)</f>
        <v>0</v>
      </c>
      <c r="Z19" s="331">
        <f>+IF(SUM($F85:Y85)&gt;=Z150*$F$5,0,Z85)</f>
        <v>0</v>
      </c>
      <c r="AA19" s="331">
        <f>+IF(SUM($F85:Z85)&gt;=AA150*$F$5,0,AA85)</f>
        <v>0</v>
      </c>
      <c r="AB19" s="331">
        <f>+IF(SUM($F85:AA85)&gt;=AB150*$F$5,0,AB85)</f>
        <v>0</v>
      </c>
      <c r="AC19" s="331">
        <f>+IF(SUM($F85:AB85)&gt;=AC150*$F$5,0,AC85)</f>
        <v>0</v>
      </c>
      <c r="AD19" s="331">
        <f>+IF(SUM($F85:AC85)&gt;=AD150*$F$5,0,AD85)</f>
        <v>0</v>
      </c>
      <c r="AE19" s="331">
        <f>+IF(SUM($F85:AD85)&gt;=AE150*$F$5,0,AE85)</f>
        <v>0</v>
      </c>
      <c r="AF19" s="331">
        <f>+IF(SUM($F85:AE85)&gt;=AF150*$F$5,0,AF85)</f>
        <v>0</v>
      </c>
      <c r="AG19" s="331">
        <f>+IF(SUM($F85:AF85)&gt;=AG150*$F$5,0,AG85)</f>
        <v>0</v>
      </c>
      <c r="AH19" s="331">
        <f>+IF(SUM($F85:AG85)&gt;=AH150*$F$5,0,AH85)</f>
        <v>0</v>
      </c>
      <c r="AI19" s="331">
        <f>+IF(SUM($F85:AH85)&gt;=AI150*$F$5,0,AI85)</f>
        <v>0</v>
      </c>
      <c r="AJ19" s="331">
        <f>+IF(SUM($F85:AI85)&gt;=AJ150*$F$5,0,AJ85)</f>
        <v>0</v>
      </c>
      <c r="AK19" s="331">
        <f>+IF(SUM($F85:AJ85)&gt;=AK150*$F$5,0,AK85)</f>
        <v>0</v>
      </c>
      <c r="AL19" s="331">
        <f>+IF(SUM($F85:AK85)&gt;=AL150*$F$5,0,AL85)</f>
        <v>0</v>
      </c>
      <c r="AM19" s="331">
        <f>+IF(SUM($F85:AL85)&gt;=AM150*$F$5,0,AM85)</f>
        <v>0</v>
      </c>
      <c r="AN19" s="331">
        <f>+IF(SUM($F85:AM85)&gt;=AN150*$F$5,0,AN85)</f>
        <v>0</v>
      </c>
      <c r="AO19" s="331">
        <f>+IF(SUM($F85:AN85)&gt;=AO150*$F$5,0,AO85)</f>
        <v>0</v>
      </c>
      <c r="AP19" s="331">
        <f>+IF(SUM($F85:AO85)&gt;=AP150*$F$5,0,AP85)</f>
        <v>0</v>
      </c>
      <c r="AQ19" s="331">
        <f>+IF(SUM($F85:AP85)&gt;=AQ150*$F$5,0,AQ85)</f>
        <v>0</v>
      </c>
      <c r="AR19" s="331">
        <f>+IF(SUM($F85:AQ85)&gt;=AR150*$F$5,0,AR85)</f>
        <v>0</v>
      </c>
      <c r="AS19" s="331">
        <f>+IF(SUM($F85:AR85)&gt;=AS150*$F$5,0,AS85)</f>
        <v>0</v>
      </c>
      <c r="AT19" s="331">
        <f>+IF(SUM($F85:AS85)&gt;=AT150*$F$5,0,AT85)</f>
        <v>0</v>
      </c>
      <c r="AU19" s="331">
        <f>+IF(SUM($F85:AT85)&gt;=AU150*$F$5,0,AU85)</f>
        <v>0</v>
      </c>
      <c r="AV19" s="331">
        <f>+IF(SUM($F85:AU85)&gt;=AV150*$F$5,0,AV85)</f>
        <v>0</v>
      </c>
      <c r="AW19" s="331">
        <f>+IF(SUM($F85:AV85)&gt;=AW150*$F$5,0,AW85)</f>
        <v>0</v>
      </c>
      <c r="AX19" s="331">
        <f>+IF(SUM($F85:AW85)&gt;=AX150*$F$5,0,AX85)</f>
        <v>0</v>
      </c>
      <c r="AY19" s="331">
        <f>+IF(SUM($F85:AX85)&gt;=AY150*$F$5,0,AY85)</f>
        <v>0</v>
      </c>
      <c r="AZ19" s="331">
        <f>+IF(SUM($F85:AY85)&gt;=AZ150*$F$5,0,AZ85)</f>
        <v>0</v>
      </c>
      <c r="BA19" s="331">
        <f>+IF(SUM($F85:AZ85)&gt;=BA150*$F$5,0,BA85)</f>
        <v>0</v>
      </c>
      <c r="BB19" s="331">
        <f>+IF(SUM($F85:BA85)&gt;=BB150*$F$5,0,BB85)</f>
        <v>0</v>
      </c>
      <c r="BC19" s="331">
        <f>+IF(SUM($F85:BB85)&gt;=BC150*$F$5,0,BC85)</f>
        <v>0</v>
      </c>
      <c r="BD19" s="331">
        <f>+IF(SUM($F85:BC85)&gt;=BD150*$F$5,0,BD85)</f>
        <v>0</v>
      </c>
      <c r="BE19" s="331">
        <f>+IF(SUM($F85:BD85)&gt;=BE150*$F$5,0,BE85)</f>
        <v>0</v>
      </c>
      <c r="BF19" s="331">
        <f>+IF(SUM($F85:BE85)&gt;=BF150*$F$5,0,BF85)</f>
        <v>0</v>
      </c>
      <c r="BG19" s="331">
        <f>+IF(SUM($F85:BF85)&gt;=BG150*$F$5,0,BG85)</f>
        <v>0</v>
      </c>
      <c r="BH19" s="331">
        <f>+IF(SUM($F85:BG85)&gt;=BH150*$F$5,0,BH85)</f>
        <v>0</v>
      </c>
      <c r="BI19" s="331">
        <f>+IF(SUM($F85:BH85)&gt;=BI150*$F$5,0,BI85)</f>
        <v>0</v>
      </c>
      <c r="BJ19" s="331">
        <f>+IF(SUM($F85:BI85)&gt;=BJ150*$F$5,0,BJ85)</f>
        <v>0</v>
      </c>
      <c r="BK19" s="331">
        <f>+IF(SUM($F85:BJ85)&gt;=BK150*$F$5,0,BK85)</f>
        <v>0</v>
      </c>
      <c r="BL19" s="331">
        <f>+IF(SUM($F85:BK85)&gt;=BL150*$F$5,0,BL85)</f>
        <v>0</v>
      </c>
      <c r="BM19" s="331">
        <f>+IF(SUM($F85:BL85)&gt;=BM150*$F$5,0,BM85)</f>
        <v>0</v>
      </c>
    </row>
    <row r="20" spans="5:65" ht="15.75">
      <c r="E20" s="416">
        <f t="shared" si="12"/>
        <v>43683</v>
      </c>
      <c r="F20" s="331">
        <f t="shared" si="11"/>
        <v>0</v>
      </c>
      <c r="G20" s="331">
        <f>+IF(SUM($F86:F86)&gt;=G151*$F$5,0,G86)</f>
        <v>0</v>
      </c>
      <c r="H20" s="331">
        <f>+IF(SUM($F86:G86)&gt;=H151*$F$5,0,H86)</f>
        <v>0</v>
      </c>
      <c r="I20" s="331">
        <f>+IF(SUM($F86:H86)&gt;=I151*$F$5,0,I86)</f>
        <v>0</v>
      </c>
      <c r="J20" s="331">
        <f>+IF(SUM($F86:I86)&gt;=J151*$F$5,0,J86)</f>
        <v>0</v>
      </c>
      <c r="K20" s="331">
        <f>+IF(SUM($F86:J86)&gt;=K151*$F$5,0,K86)</f>
        <v>0</v>
      </c>
      <c r="L20" s="331">
        <f>+IF(SUM($F86:K86)&gt;=L151*$F$5,0,L86)</f>
        <v>0</v>
      </c>
      <c r="M20" s="331">
        <f>+IF(SUM($F86:L86)&gt;=M151*$F$5,0,M86)</f>
        <v>0</v>
      </c>
      <c r="N20" s="331">
        <f>+IF(SUM($F86:M86)&gt;=N151*$F$5,0,N86)</f>
        <v>0</v>
      </c>
      <c r="O20" s="331">
        <f>+IF(SUM($F86:N86)&gt;=O151*$F$5,0,O86)</f>
        <v>0</v>
      </c>
      <c r="P20" s="331">
        <f>+IF(SUM($F86:O86)&gt;=P151*$F$5,0,P86)</f>
        <v>0</v>
      </c>
      <c r="Q20" s="331">
        <f>+IF(SUM($F86:P86)&gt;=Q151*$F$5,0,Q86)</f>
        <v>0</v>
      </c>
      <c r="R20" s="331">
        <f>+IF(SUM($F86:Q86)&gt;=R151*$F$5,0,R86)</f>
        <v>0</v>
      </c>
      <c r="S20" s="331">
        <f>+IF(SUM($F86:R86)&gt;=S151*$F$5,0,S86)</f>
        <v>0</v>
      </c>
      <c r="T20" s="331">
        <f>+IF(SUM($F86:S86)&gt;=T151*$F$5,0,T86)</f>
        <v>0</v>
      </c>
      <c r="U20" s="331">
        <f>+IF(SUM($F86:T86)&gt;=U151*$F$5,0,U86)</f>
        <v>0</v>
      </c>
      <c r="V20" s="331">
        <f>+IF(SUM($F86:U86)&gt;=V151*$F$5,0,V86)</f>
        <v>0</v>
      </c>
      <c r="W20" s="331">
        <f>+IF(SUM($F86:V86)&gt;=W151*$F$5,0,W86)</f>
        <v>0</v>
      </c>
      <c r="X20" s="331">
        <f>+IF(SUM($F86:W86)&gt;=X151*$F$5,0,X86)</f>
        <v>0</v>
      </c>
      <c r="Y20" s="331">
        <f>+IF(SUM($F86:X86)&gt;=Y151*$F$5,0,Y86)</f>
        <v>0</v>
      </c>
      <c r="Z20" s="331">
        <f>+IF(SUM($F86:Y86)&gt;=Z151*$F$5,0,Z86)</f>
        <v>0</v>
      </c>
      <c r="AA20" s="331">
        <f>+IF(SUM($F86:Z86)&gt;=AA151*$F$5,0,AA86)</f>
        <v>0</v>
      </c>
      <c r="AB20" s="331">
        <f>+IF(SUM($F86:AA86)&gt;=AB151*$F$5,0,AB86)</f>
        <v>0</v>
      </c>
      <c r="AC20" s="331">
        <f>+IF(SUM($F86:AB86)&gt;=AC151*$F$5,0,AC86)</f>
        <v>0</v>
      </c>
      <c r="AD20" s="331">
        <f>+IF(SUM($F86:AC86)&gt;=AD151*$F$5,0,AD86)</f>
        <v>0</v>
      </c>
      <c r="AE20" s="331">
        <f>+IF(SUM($F86:AD86)&gt;=AE151*$F$5,0,AE86)</f>
        <v>0</v>
      </c>
      <c r="AF20" s="331">
        <f>+IF(SUM($F86:AE86)&gt;=AF151*$F$5,0,AF86)</f>
        <v>0</v>
      </c>
      <c r="AG20" s="331">
        <f>+IF(SUM($F86:AF86)&gt;=AG151*$F$5,0,AG86)</f>
        <v>0</v>
      </c>
      <c r="AH20" s="331">
        <f>+IF(SUM($F86:AG86)&gt;=AH151*$F$5,0,AH86)</f>
        <v>0</v>
      </c>
      <c r="AI20" s="331">
        <f>+IF(SUM($F86:AH86)&gt;=AI151*$F$5,0,AI86)</f>
        <v>0</v>
      </c>
      <c r="AJ20" s="331">
        <f>+IF(SUM($F86:AI86)&gt;=AJ151*$F$5,0,AJ86)</f>
        <v>0</v>
      </c>
      <c r="AK20" s="331">
        <f>+IF(SUM($F86:AJ86)&gt;=AK151*$F$5,0,AK86)</f>
        <v>0</v>
      </c>
      <c r="AL20" s="331">
        <f>+IF(SUM($F86:AK86)&gt;=AL151*$F$5,0,AL86)</f>
        <v>0</v>
      </c>
      <c r="AM20" s="331">
        <f>+IF(SUM($F86:AL86)&gt;=AM151*$F$5,0,AM86)</f>
        <v>0</v>
      </c>
      <c r="AN20" s="331">
        <f>+IF(SUM($F86:AM86)&gt;=AN151*$F$5,0,AN86)</f>
        <v>0</v>
      </c>
      <c r="AO20" s="331">
        <f>+IF(SUM($F86:AN86)&gt;=AO151*$F$5,0,AO86)</f>
        <v>0</v>
      </c>
      <c r="AP20" s="331">
        <f>+IF(SUM($F86:AO86)&gt;=AP151*$F$5,0,AP86)</f>
        <v>0</v>
      </c>
      <c r="AQ20" s="331">
        <f>+IF(SUM($F86:AP86)&gt;=AQ151*$F$5,0,AQ86)</f>
        <v>0</v>
      </c>
      <c r="AR20" s="331">
        <f>+IF(SUM($F86:AQ86)&gt;=AR151*$F$5,0,AR86)</f>
        <v>0</v>
      </c>
      <c r="AS20" s="331">
        <f>+IF(SUM($F86:AR86)&gt;=AS151*$F$5,0,AS86)</f>
        <v>0</v>
      </c>
      <c r="AT20" s="331">
        <f>+IF(SUM($F86:AS86)&gt;=AT151*$F$5,0,AT86)</f>
        <v>0</v>
      </c>
      <c r="AU20" s="331">
        <f>+IF(SUM($F86:AT86)&gt;=AU151*$F$5,0,AU86)</f>
        <v>0</v>
      </c>
      <c r="AV20" s="331">
        <f>+IF(SUM($F86:AU86)&gt;=AV151*$F$5,0,AV86)</f>
        <v>0</v>
      </c>
      <c r="AW20" s="331">
        <f>+IF(SUM($F86:AV86)&gt;=AW151*$F$5,0,AW86)</f>
        <v>0</v>
      </c>
      <c r="AX20" s="331">
        <f>+IF(SUM($F86:AW86)&gt;=AX151*$F$5,0,AX86)</f>
        <v>0</v>
      </c>
      <c r="AY20" s="331">
        <f>+IF(SUM($F86:AX86)&gt;=AY151*$F$5,0,AY86)</f>
        <v>0</v>
      </c>
      <c r="AZ20" s="331">
        <f>+IF(SUM($F86:AY86)&gt;=AZ151*$F$5,0,AZ86)</f>
        <v>0</v>
      </c>
      <c r="BA20" s="331">
        <f>+IF(SUM($F86:AZ86)&gt;=BA151*$F$5,0,BA86)</f>
        <v>0</v>
      </c>
      <c r="BB20" s="331">
        <f>+IF(SUM($F86:BA86)&gt;=BB151*$F$5,0,BB86)</f>
        <v>0</v>
      </c>
      <c r="BC20" s="331">
        <f>+IF(SUM($F86:BB86)&gt;=BC151*$F$5,0,BC86)</f>
        <v>0</v>
      </c>
      <c r="BD20" s="331">
        <f>+IF(SUM($F86:BC86)&gt;=BD151*$F$5,0,BD86)</f>
        <v>0</v>
      </c>
      <c r="BE20" s="331">
        <f>+IF(SUM($F86:BD86)&gt;=BE151*$F$5,0,BE86)</f>
        <v>0</v>
      </c>
      <c r="BF20" s="331">
        <f>+IF(SUM($F86:BE86)&gt;=BF151*$F$5,0,BF86)</f>
        <v>0</v>
      </c>
      <c r="BG20" s="331">
        <f>+IF(SUM($F86:BF86)&gt;=BG151*$F$5,0,BG86)</f>
        <v>0</v>
      </c>
      <c r="BH20" s="331">
        <f>+IF(SUM($F86:BG86)&gt;=BH151*$F$5,0,BH86)</f>
        <v>0</v>
      </c>
      <c r="BI20" s="331">
        <f>+IF(SUM($F86:BH86)&gt;=BI151*$F$5,0,BI86)</f>
        <v>0</v>
      </c>
      <c r="BJ20" s="331">
        <f>+IF(SUM($F86:BI86)&gt;=BJ151*$F$5,0,BJ86)</f>
        <v>0</v>
      </c>
      <c r="BK20" s="331">
        <f>+IF(SUM($F86:BJ86)&gt;=BK151*$F$5,0,BK86)</f>
        <v>0</v>
      </c>
      <c r="BL20" s="331">
        <f>+IF(SUM($F86:BK86)&gt;=BL151*$F$5,0,BL86)</f>
        <v>0</v>
      </c>
      <c r="BM20" s="331">
        <f>+IF(SUM($F86:BL86)&gt;=BM151*$F$5,0,BM86)</f>
        <v>0</v>
      </c>
    </row>
    <row r="21" spans="5:65" ht="15.75">
      <c r="E21" s="416">
        <f t="shared" si="12"/>
        <v>43714</v>
      </c>
      <c r="F21" s="331">
        <f t="shared" si="11"/>
        <v>0</v>
      </c>
      <c r="G21" s="331">
        <f>+IF(SUM($F87:F87)&gt;=G152*$F$5,0,G87)</f>
        <v>0</v>
      </c>
      <c r="H21" s="331">
        <f>+IF(SUM($F87:G87)&gt;=H152*$F$5,0,H87)</f>
        <v>0</v>
      </c>
      <c r="I21" s="331">
        <f>+IF(SUM($F87:H87)&gt;=I152*$F$5,0,I87)</f>
        <v>0</v>
      </c>
      <c r="J21" s="331">
        <f>+IF(SUM($F87:I87)&gt;=J152*$F$5,0,J87)</f>
        <v>0</v>
      </c>
      <c r="K21" s="331">
        <f>+IF(SUM($F87:J87)&gt;=K152*$F$5,0,K87)</f>
        <v>0</v>
      </c>
      <c r="L21" s="331">
        <f>+IF(SUM($F87:K87)&gt;=L152*$F$5,0,L87)</f>
        <v>0</v>
      </c>
      <c r="M21" s="331">
        <f>+IF(SUM($F87:L87)&gt;=M152*$F$5,0,M87)</f>
        <v>0</v>
      </c>
      <c r="N21" s="331">
        <f>+IF(SUM($F87:M87)&gt;=N152*$F$5,0,N87)</f>
        <v>0</v>
      </c>
      <c r="O21" s="331">
        <f>+IF(SUM($F87:N87)&gt;=O152*$F$5,0,O87)</f>
        <v>0</v>
      </c>
      <c r="P21" s="331">
        <f>+IF(SUM($F87:O87)&gt;=P152*$F$5,0,P87)</f>
        <v>0</v>
      </c>
      <c r="Q21" s="331">
        <f>+IF(SUM($F87:P87)&gt;=Q152*$F$5,0,Q87)</f>
        <v>0</v>
      </c>
      <c r="R21" s="331">
        <f>+IF(SUM($F87:Q87)&gt;=R152*$F$5,0,R87)</f>
        <v>0</v>
      </c>
      <c r="S21" s="331">
        <f>+IF(SUM($F87:R87)&gt;=S152*$F$5,0,S87)</f>
        <v>0</v>
      </c>
      <c r="T21" s="331">
        <f>+IF(SUM($F87:S87)&gt;=T152*$F$5,0,T87)</f>
        <v>0</v>
      </c>
      <c r="U21" s="331">
        <f>+IF(SUM($F87:T87)&gt;=U152*$F$5,0,U87)</f>
        <v>0</v>
      </c>
      <c r="V21" s="331">
        <f>+IF(SUM($F87:U87)&gt;=V152*$F$5,0,V87)</f>
        <v>0</v>
      </c>
      <c r="W21" s="331">
        <f>+IF(SUM($F87:V87)&gt;=W152*$F$5,0,W87)</f>
        <v>0</v>
      </c>
      <c r="X21" s="331">
        <f>+IF(SUM($F87:W87)&gt;=X152*$F$5,0,X87)</f>
        <v>0</v>
      </c>
      <c r="Y21" s="331">
        <f>+IF(SUM($F87:X87)&gt;=Y152*$F$5,0,Y87)</f>
        <v>0</v>
      </c>
      <c r="Z21" s="331">
        <f>+IF(SUM($F87:Y87)&gt;=Z152*$F$5,0,Z87)</f>
        <v>0</v>
      </c>
      <c r="AA21" s="331">
        <f>+IF(SUM($F87:Z87)&gt;=AA152*$F$5,0,AA87)</f>
        <v>0</v>
      </c>
      <c r="AB21" s="331">
        <f>+IF(SUM($F87:AA87)&gt;=AB152*$F$5,0,AB87)</f>
        <v>0</v>
      </c>
      <c r="AC21" s="331">
        <f>+IF(SUM($F87:AB87)&gt;=AC152*$F$5,0,AC87)</f>
        <v>0</v>
      </c>
      <c r="AD21" s="331">
        <f>+IF(SUM($F87:AC87)&gt;=AD152*$F$5,0,AD87)</f>
        <v>0</v>
      </c>
      <c r="AE21" s="331">
        <f>+IF(SUM($F87:AD87)&gt;=AE152*$F$5,0,AE87)</f>
        <v>0</v>
      </c>
      <c r="AF21" s="331">
        <f>+IF(SUM($F87:AE87)&gt;=AF152*$F$5,0,AF87)</f>
        <v>0</v>
      </c>
      <c r="AG21" s="331">
        <f>+IF(SUM($F87:AF87)&gt;=AG152*$F$5,0,AG87)</f>
        <v>0</v>
      </c>
      <c r="AH21" s="331">
        <f>+IF(SUM($F87:AG87)&gt;=AH152*$F$5,0,AH87)</f>
        <v>0</v>
      </c>
      <c r="AI21" s="331">
        <f>+IF(SUM($F87:AH87)&gt;=AI152*$F$5,0,AI87)</f>
        <v>0</v>
      </c>
      <c r="AJ21" s="331">
        <f>+IF(SUM($F87:AI87)&gt;=AJ152*$F$5,0,AJ87)</f>
        <v>0</v>
      </c>
      <c r="AK21" s="331">
        <f>+IF(SUM($F87:AJ87)&gt;=AK152*$F$5,0,AK87)</f>
        <v>0</v>
      </c>
      <c r="AL21" s="331">
        <f>+IF(SUM($F87:AK87)&gt;=AL152*$F$5,0,AL87)</f>
        <v>0</v>
      </c>
      <c r="AM21" s="331">
        <f>+IF(SUM($F87:AL87)&gt;=AM152*$F$5,0,AM87)</f>
        <v>0</v>
      </c>
      <c r="AN21" s="331">
        <f>+IF(SUM($F87:AM87)&gt;=AN152*$F$5,0,AN87)</f>
        <v>0</v>
      </c>
      <c r="AO21" s="331">
        <f>+IF(SUM($F87:AN87)&gt;=AO152*$F$5,0,AO87)</f>
        <v>0</v>
      </c>
      <c r="AP21" s="331">
        <f>+IF(SUM($F87:AO87)&gt;=AP152*$F$5,0,AP87)</f>
        <v>0</v>
      </c>
      <c r="AQ21" s="331">
        <f>+IF(SUM($F87:AP87)&gt;=AQ152*$F$5,0,AQ87)</f>
        <v>0</v>
      </c>
      <c r="AR21" s="331">
        <f>+IF(SUM($F87:AQ87)&gt;=AR152*$F$5,0,AR87)</f>
        <v>0</v>
      </c>
      <c r="AS21" s="331">
        <f>+IF(SUM($F87:AR87)&gt;=AS152*$F$5,0,AS87)</f>
        <v>0</v>
      </c>
      <c r="AT21" s="331">
        <f>+IF(SUM($F87:AS87)&gt;=AT152*$F$5,0,AT87)</f>
        <v>0</v>
      </c>
      <c r="AU21" s="331">
        <f>+IF(SUM($F87:AT87)&gt;=AU152*$F$5,0,AU87)</f>
        <v>0</v>
      </c>
      <c r="AV21" s="331">
        <f>+IF(SUM($F87:AU87)&gt;=AV152*$F$5,0,AV87)</f>
        <v>0</v>
      </c>
      <c r="AW21" s="331">
        <f>+IF(SUM($F87:AV87)&gt;=AW152*$F$5,0,AW87)</f>
        <v>0</v>
      </c>
      <c r="AX21" s="331">
        <f>+IF(SUM($F87:AW87)&gt;=AX152*$F$5,0,AX87)</f>
        <v>0</v>
      </c>
      <c r="AY21" s="331">
        <f>+IF(SUM($F87:AX87)&gt;=AY152*$F$5,0,AY87)</f>
        <v>0</v>
      </c>
      <c r="AZ21" s="331">
        <f>+IF(SUM($F87:AY87)&gt;=AZ152*$F$5,0,AZ87)</f>
        <v>0</v>
      </c>
      <c r="BA21" s="331">
        <f>+IF(SUM($F87:AZ87)&gt;=BA152*$F$5,0,BA87)</f>
        <v>0</v>
      </c>
      <c r="BB21" s="331">
        <f>+IF(SUM($F87:BA87)&gt;=BB152*$F$5,0,BB87)</f>
        <v>0</v>
      </c>
      <c r="BC21" s="331">
        <f>+IF(SUM($F87:BB87)&gt;=BC152*$F$5,0,BC87)</f>
        <v>0</v>
      </c>
      <c r="BD21" s="331">
        <f>+IF(SUM($F87:BC87)&gt;=BD152*$F$5,0,BD87)</f>
        <v>0</v>
      </c>
      <c r="BE21" s="331">
        <f>+IF(SUM($F87:BD87)&gt;=BE152*$F$5,0,BE87)</f>
        <v>0</v>
      </c>
      <c r="BF21" s="331">
        <f>+IF(SUM($F87:BE87)&gt;=BF152*$F$5,0,BF87)</f>
        <v>0</v>
      </c>
      <c r="BG21" s="331">
        <f>+IF(SUM($F87:BF87)&gt;=BG152*$F$5,0,BG87)</f>
        <v>0</v>
      </c>
      <c r="BH21" s="331">
        <f>+IF(SUM($F87:BG87)&gt;=BH152*$F$5,0,BH87)</f>
        <v>0</v>
      </c>
      <c r="BI21" s="331">
        <f>+IF(SUM($F87:BH87)&gt;=BI152*$F$5,0,BI87)</f>
        <v>0</v>
      </c>
      <c r="BJ21" s="331">
        <f>+IF(SUM($F87:BI87)&gt;=BJ152*$F$5,0,BJ87)</f>
        <v>0</v>
      </c>
      <c r="BK21" s="331">
        <f>+IF(SUM($F87:BJ87)&gt;=BK152*$F$5,0,BK87)</f>
        <v>0</v>
      </c>
      <c r="BL21" s="331">
        <f>+IF(SUM($F87:BK87)&gt;=BL152*$F$5,0,BL87)</f>
        <v>0</v>
      </c>
      <c r="BM21" s="331">
        <f>+IF(SUM($F87:BL87)&gt;=BM152*$F$5,0,BM87)</f>
        <v>0</v>
      </c>
    </row>
    <row r="22" spans="5:65" ht="15.75">
      <c r="E22" s="416">
        <f t="shared" si="12"/>
        <v>43745</v>
      </c>
      <c r="F22" s="331">
        <f t="shared" si="11"/>
        <v>0</v>
      </c>
      <c r="G22" s="331">
        <f>+IF(SUM($F88:F88)&gt;=G153*$F$5,0,G88)</f>
        <v>0</v>
      </c>
      <c r="H22" s="331">
        <f>+IF(SUM($F88:G88)&gt;=H153*$F$5,0,H88)</f>
        <v>0</v>
      </c>
      <c r="I22" s="331">
        <f>+IF(SUM($F88:H88)&gt;=I153*$F$5,0,I88)</f>
        <v>0</v>
      </c>
      <c r="J22" s="331">
        <f>+IF(SUM($F88:I88)&gt;=J153*$F$5,0,J88)</f>
        <v>0</v>
      </c>
      <c r="K22" s="331">
        <f>+IF(SUM($F88:J88)&gt;=K153*$F$5,0,K88)</f>
        <v>0</v>
      </c>
      <c r="L22" s="331">
        <f>+IF(SUM($F88:K88)&gt;=L153*$F$5,0,L88)</f>
        <v>0</v>
      </c>
      <c r="M22" s="331">
        <f>+IF(SUM($F88:L88)&gt;=M153*$F$5,0,M88)</f>
        <v>0</v>
      </c>
      <c r="N22" s="331">
        <f>+IF(SUM($F88:M88)&gt;=N153*$F$5,0,N88)</f>
        <v>0</v>
      </c>
      <c r="O22" s="331">
        <f>+IF(SUM($F88:N88)&gt;=O153*$F$5,0,O88)</f>
        <v>0</v>
      </c>
      <c r="P22" s="331">
        <f>+IF(SUM($F88:O88)&gt;=P153*$F$5,0,P88)</f>
        <v>0</v>
      </c>
      <c r="Q22" s="331">
        <f>+IF(SUM($F88:P88)&gt;=Q153*$F$5,0,Q88)</f>
        <v>0</v>
      </c>
      <c r="R22" s="331">
        <f>+IF(SUM($F88:Q88)&gt;=R153*$F$5,0,R88)</f>
        <v>0</v>
      </c>
      <c r="S22" s="331">
        <f>+IF(SUM($F88:R88)&gt;=S153*$F$5,0,S88)</f>
        <v>0</v>
      </c>
      <c r="T22" s="331">
        <f>+IF(SUM($F88:S88)&gt;=T153*$F$5,0,T88)</f>
        <v>0</v>
      </c>
      <c r="U22" s="331">
        <f>+IF(SUM($F88:T88)&gt;=U153*$F$5,0,U88)</f>
        <v>0</v>
      </c>
      <c r="V22" s="331">
        <f>+IF(SUM($F88:U88)&gt;=V153*$F$5,0,V88)</f>
        <v>0</v>
      </c>
      <c r="W22" s="331">
        <f>+IF(SUM($F88:V88)&gt;=W153*$F$5,0,W88)</f>
        <v>0</v>
      </c>
      <c r="X22" s="331">
        <f>+IF(SUM($F88:W88)&gt;=X153*$F$5,0,X88)</f>
        <v>0</v>
      </c>
      <c r="Y22" s="331">
        <f>+IF(SUM($F88:X88)&gt;=Y153*$F$5,0,Y88)</f>
        <v>0</v>
      </c>
      <c r="Z22" s="331">
        <f>+IF(SUM($F88:Y88)&gt;=Z153*$F$5,0,Z88)</f>
        <v>0</v>
      </c>
      <c r="AA22" s="331">
        <f>+IF(SUM($F88:Z88)&gt;=AA153*$F$5,0,AA88)</f>
        <v>0</v>
      </c>
      <c r="AB22" s="331">
        <f>+IF(SUM($F88:AA88)&gt;=AB153*$F$5,0,AB88)</f>
        <v>0</v>
      </c>
      <c r="AC22" s="331">
        <f>+IF(SUM($F88:AB88)&gt;=AC153*$F$5,0,AC88)</f>
        <v>0</v>
      </c>
      <c r="AD22" s="331">
        <f>+IF(SUM($F88:AC88)&gt;=AD153*$F$5,0,AD88)</f>
        <v>0</v>
      </c>
      <c r="AE22" s="331">
        <f>+IF(SUM($F88:AD88)&gt;=AE153*$F$5,0,AE88)</f>
        <v>0</v>
      </c>
      <c r="AF22" s="331">
        <f>+IF(SUM($F88:AE88)&gt;=AF153*$F$5,0,AF88)</f>
        <v>0</v>
      </c>
      <c r="AG22" s="331">
        <f>+IF(SUM($F88:AF88)&gt;=AG153*$F$5,0,AG88)</f>
        <v>0</v>
      </c>
      <c r="AH22" s="331">
        <f>+IF(SUM($F88:AG88)&gt;=AH153*$F$5,0,AH88)</f>
        <v>0</v>
      </c>
      <c r="AI22" s="331">
        <f>+IF(SUM($F88:AH88)&gt;=AI153*$F$5,0,AI88)</f>
        <v>0</v>
      </c>
      <c r="AJ22" s="331">
        <f>+IF(SUM($F88:AI88)&gt;=AJ153*$F$5,0,AJ88)</f>
        <v>0</v>
      </c>
      <c r="AK22" s="331">
        <f>+IF(SUM($F88:AJ88)&gt;=AK153*$F$5,0,AK88)</f>
        <v>0</v>
      </c>
      <c r="AL22" s="331">
        <f>+IF(SUM($F88:AK88)&gt;=AL153*$F$5,0,AL88)</f>
        <v>0</v>
      </c>
      <c r="AM22" s="331">
        <f>+IF(SUM($F88:AL88)&gt;=AM153*$F$5,0,AM88)</f>
        <v>0</v>
      </c>
      <c r="AN22" s="331">
        <f>+IF(SUM($F88:AM88)&gt;=AN153*$F$5,0,AN88)</f>
        <v>0</v>
      </c>
      <c r="AO22" s="331">
        <f>+IF(SUM($F88:AN88)&gt;=AO153*$F$5,0,AO88)</f>
        <v>0</v>
      </c>
      <c r="AP22" s="331">
        <f>+IF(SUM($F88:AO88)&gt;=AP153*$F$5,0,AP88)</f>
        <v>0</v>
      </c>
      <c r="AQ22" s="331">
        <f>+IF(SUM($F88:AP88)&gt;=AQ153*$F$5,0,AQ88)</f>
        <v>0</v>
      </c>
      <c r="AR22" s="331">
        <f>+IF(SUM($F88:AQ88)&gt;=AR153*$F$5,0,AR88)</f>
        <v>0</v>
      </c>
      <c r="AS22" s="331">
        <f>+IF(SUM($F88:AR88)&gt;=AS153*$F$5,0,AS88)</f>
        <v>0</v>
      </c>
      <c r="AT22" s="331">
        <f>+IF(SUM($F88:AS88)&gt;=AT153*$F$5,0,AT88)</f>
        <v>0</v>
      </c>
      <c r="AU22" s="331">
        <f>+IF(SUM($F88:AT88)&gt;=AU153*$F$5,0,AU88)</f>
        <v>0</v>
      </c>
      <c r="AV22" s="331">
        <f>+IF(SUM($F88:AU88)&gt;=AV153*$F$5,0,AV88)</f>
        <v>0</v>
      </c>
      <c r="AW22" s="331">
        <f>+IF(SUM($F88:AV88)&gt;=AW153*$F$5,0,AW88)</f>
        <v>0</v>
      </c>
      <c r="AX22" s="331">
        <f>+IF(SUM($F88:AW88)&gt;=AX153*$F$5,0,AX88)</f>
        <v>0</v>
      </c>
      <c r="AY22" s="331">
        <f>+IF(SUM($F88:AX88)&gt;=AY153*$F$5,0,AY88)</f>
        <v>0</v>
      </c>
      <c r="AZ22" s="331">
        <f>+IF(SUM($F88:AY88)&gt;=AZ153*$F$5,0,AZ88)</f>
        <v>0</v>
      </c>
      <c r="BA22" s="331">
        <f>+IF(SUM($F88:AZ88)&gt;=BA153*$F$5,0,BA88)</f>
        <v>0</v>
      </c>
      <c r="BB22" s="331">
        <f>+IF(SUM($F88:BA88)&gt;=BB153*$F$5,0,BB88)</f>
        <v>0</v>
      </c>
      <c r="BC22" s="331">
        <f>+IF(SUM($F88:BB88)&gt;=BC153*$F$5,0,BC88)</f>
        <v>0</v>
      </c>
      <c r="BD22" s="331">
        <f>+IF(SUM($F88:BC88)&gt;=BD153*$F$5,0,BD88)</f>
        <v>0</v>
      </c>
      <c r="BE22" s="331">
        <f>+IF(SUM($F88:BD88)&gt;=BE153*$F$5,0,BE88)</f>
        <v>0</v>
      </c>
      <c r="BF22" s="331">
        <f>+IF(SUM($F88:BE88)&gt;=BF153*$F$5,0,BF88)</f>
        <v>0</v>
      </c>
      <c r="BG22" s="331">
        <f>+IF(SUM($F88:BF88)&gt;=BG153*$F$5,0,BG88)</f>
        <v>0</v>
      </c>
      <c r="BH22" s="331">
        <f>+IF(SUM($F88:BG88)&gt;=BH153*$F$5,0,BH88)</f>
        <v>0</v>
      </c>
      <c r="BI22" s="331">
        <f>+IF(SUM($F88:BH88)&gt;=BI153*$F$5,0,BI88)</f>
        <v>0</v>
      </c>
      <c r="BJ22" s="331">
        <f>+IF(SUM($F88:BI88)&gt;=BJ153*$F$5,0,BJ88)</f>
        <v>0</v>
      </c>
      <c r="BK22" s="331">
        <f>+IF(SUM($F88:BJ88)&gt;=BK153*$F$5,0,BK88)</f>
        <v>0</v>
      </c>
      <c r="BL22" s="331">
        <f>+IF(SUM($F88:BK88)&gt;=BL153*$F$5,0,BL88)</f>
        <v>0</v>
      </c>
      <c r="BM22" s="331">
        <f>+IF(SUM($F88:BL88)&gt;=BM153*$F$5,0,BM88)</f>
        <v>0</v>
      </c>
    </row>
    <row r="23" spans="2:65" ht="15.75">
      <c r="B23" s="218"/>
      <c r="E23" s="416">
        <f t="shared" si="12"/>
        <v>43776</v>
      </c>
      <c r="F23" s="331">
        <f t="shared" si="11"/>
        <v>0</v>
      </c>
      <c r="G23" s="331">
        <f>+IF(SUM($F89:F89)&gt;=G154*$F$5,0,G89)</f>
        <v>0</v>
      </c>
      <c r="H23" s="331">
        <f>+IF(SUM($F89:G89)&gt;=H154*$F$5,0,H89)</f>
        <v>0</v>
      </c>
      <c r="I23" s="331">
        <f>+IF(SUM($F89:H89)&gt;=I154*$F$5,0,I89)</f>
        <v>0</v>
      </c>
      <c r="J23" s="331">
        <f>+IF(SUM($F89:I89)&gt;=J154*$F$5,0,J89)</f>
        <v>0</v>
      </c>
      <c r="K23" s="331">
        <f>+IF(SUM($F89:J89)&gt;=K154*$F$5,0,K89)</f>
        <v>0</v>
      </c>
      <c r="L23" s="331">
        <f>+IF(SUM($F89:K89)&gt;=L154*$F$5,0,L89)</f>
        <v>0</v>
      </c>
      <c r="M23" s="331">
        <f>+IF(SUM($F89:L89)&gt;=M154*$F$5,0,M89)</f>
        <v>0</v>
      </c>
      <c r="N23" s="331">
        <f>+IF(SUM($F89:M89)&gt;=N154*$F$5,0,N89)</f>
        <v>0</v>
      </c>
      <c r="O23" s="331">
        <f>+IF(SUM($F89:N89)&gt;=O154*$F$5,0,O89)</f>
        <v>0</v>
      </c>
      <c r="P23" s="331">
        <f>+IF(SUM($F89:O89)&gt;=P154*$F$5,0,P89)</f>
        <v>0</v>
      </c>
      <c r="Q23" s="331">
        <f>+IF(SUM($F89:P89)&gt;=Q154*$F$5,0,Q89)</f>
        <v>0</v>
      </c>
      <c r="R23" s="331">
        <f>+IF(SUM($F89:Q89)&gt;=R154*$F$5,0,R89)</f>
        <v>0</v>
      </c>
      <c r="S23" s="331">
        <f>+IF(SUM($F89:R89)&gt;=S154*$F$5,0,S89)</f>
        <v>0</v>
      </c>
      <c r="T23" s="331">
        <f>+IF(SUM($F89:S89)&gt;=T154*$F$5,0,T89)</f>
        <v>0</v>
      </c>
      <c r="U23" s="331">
        <f>+IF(SUM($F89:T89)&gt;=U154*$F$5,0,U89)</f>
        <v>0</v>
      </c>
      <c r="V23" s="331">
        <f>+IF(SUM($F89:U89)&gt;=V154*$F$5,0,V89)</f>
        <v>0</v>
      </c>
      <c r="W23" s="331">
        <f>+IF(SUM($F89:V89)&gt;=W154*$F$5,0,W89)</f>
        <v>0</v>
      </c>
      <c r="X23" s="331">
        <f>+IF(SUM($F89:W89)&gt;=X154*$F$5,0,X89)</f>
        <v>0</v>
      </c>
      <c r="Y23" s="331">
        <f>+IF(SUM($F89:X89)&gt;=Y154*$F$5,0,Y89)</f>
        <v>0</v>
      </c>
      <c r="Z23" s="331">
        <f>+IF(SUM($F89:Y89)&gt;=Z154*$F$5,0,Z89)</f>
        <v>0</v>
      </c>
      <c r="AA23" s="331">
        <f>+IF(SUM($F89:Z89)&gt;=AA154*$F$5,0,AA89)</f>
        <v>0</v>
      </c>
      <c r="AB23" s="331">
        <f>+IF(SUM($F89:AA89)&gt;=AB154*$F$5,0,AB89)</f>
        <v>0</v>
      </c>
      <c r="AC23" s="331">
        <f>+IF(SUM($F89:AB89)&gt;=AC154*$F$5,0,AC89)</f>
        <v>0</v>
      </c>
      <c r="AD23" s="331">
        <f>+IF(SUM($F89:AC89)&gt;=AD154*$F$5,0,AD89)</f>
        <v>0</v>
      </c>
      <c r="AE23" s="331">
        <f>+IF(SUM($F89:AD89)&gt;=AE154*$F$5,0,AE89)</f>
        <v>0</v>
      </c>
      <c r="AF23" s="331">
        <f>+IF(SUM($F89:AE89)&gt;=AF154*$F$5,0,AF89)</f>
        <v>0</v>
      </c>
      <c r="AG23" s="331">
        <f>+IF(SUM($F89:AF89)&gt;=AG154*$F$5,0,AG89)</f>
        <v>0</v>
      </c>
      <c r="AH23" s="331">
        <f>+IF(SUM($F89:AG89)&gt;=AH154*$F$5,0,AH89)</f>
        <v>0</v>
      </c>
      <c r="AI23" s="331">
        <f>+IF(SUM($F89:AH89)&gt;=AI154*$F$5,0,AI89)</f>
        <v>0</v>
      </c>
      <c r="AJ23" s="331">
        <f>+IF(SUM($F89:AI89)&gt;=AJ154*$F$5,0,AJ89)</f>
        <v>0</v>
      </c>
      <c r="AK23" s="331">
        <f>+IF(SUM($F89:AJ89)&gt;=AK154*$F$5,0,AK89)</f>
        <v>0</v>
      </c>
      <c r="AL23" s="331">
        <f>+IF(SUM($F89:AK89)&gt;=AL154*$F$5,0,AL89)</f>
        <v>0</v>
      </c>
      <c r="AM23" s="331">
        <f>+IF(SUM($F89:AL89)&gt;=AM154*$F$5,0,AM89)</f>
        <v>0</v>
      </c>
      <c r="AN23" s="331">
        <f>+IF(SUM($F89:AM89)&gt;=AN154*$F$5,0,AN89)</f>
        <v>0</v>
      </c>
      <c r="AO23" s="331">
        <f>+IF(SUM($F89:AN89)&gt;=AO154*$F$5,0,AO89)</f>
        <v>0</v>
      </c>
      <c r="AP23" s="331">
        <f>+IF(SUM($F89:AO89)&gt;=AP154*$F$5,0,AP89)</f>
        <v>0</v>
      </c>
      <c r="AQ23" s="331">
        <f>+IF(SUM($F89:AP89)&gt;=AQ154*$F$5,0,AQ89)</f>
        <v>0</v>
      </c>
      <c r="AR23" s="331">
        <f>+IF(SUM($F89:AQ89)&gt;=AR154*$F$5,0,AR89)</f>
        <v>0</v>
      </c>
      <c r="AS23" s="331">
        <f>+IF(SUM($F89:AR89)&gt;=AS154*$F$5,0,AS89)</f>
        <v>0</v>
      </c>
      <c r="AT23" s="331">
        <f>+IF(SUM($F89:AS89)&gt;=AT154*$F$5,0,AT89)</f>
        <v>0</v>
      </c>
      <c r="AU23" s="331">
        <f>+IF(SUM($F89:AT89)&gt;=AU154*$F$5,0,AU89)</f>
        <v>0</v>
      </c>
      <c r="AV23" s="331">
        <f>+IF(SUM($F89:AU89)&gt;=AV154*$F$5,0,AV89)</f>
        <v>0</v>
      </c>
      <c r="AW23" s="331">
        <f>+IF(SUM($F89:AV89)&gt;=AW154*$F$5,0,AW89)</f>
        <v>0</v>
      </c>
      <c r="AX23" s="331">
        <f>+IF(SUM($F89:AW89)&gt;=AX154*$F$5,0,AX89)</f>
        <v>0</v>
      </c>
      <c r="AY23" s="331">
        <f>+IF(SUM($F89:AX89)&gt;=AY154*$F$5,0,AY89)</f>
        <v>0</v>
      </c>
      <c r="AZ23" s="331">
        <f>+IF(SUM($F89:AY89)&gt;=AZ154*$F$5,0,AZ89)</f>
        <v>0</v>
      </c>
      <c r="BA23" s="331">
        <f>+IF(SUM($F89:AZ89)&gt;=BA154*$F$5,0,BA89)</f>
        <v>0</v>
      </c>
      <c r="BB23" s="331">
        <f>+IF(SUM($F89:BA89)&gt;=BB154*$F$5,0,BB89)</f>
        <v>0</v>
      </c>
      <c r="BC23" s="331">
        <f>+IF(SUM($F89:BB89)&gt;=BC154*$F$5,0,BC89)</f>
        <v>0</v>
      </c>
      <c r="BD23" s="331">
        <f>+IF(SUM($F89:BC89)&gt;=BD154*$F$5,0,BD89)</f>
        <v>0</v>
      </c>
      <c r="BE23" s="331">
        <f>+IF(SUM($F89:BD89)&gt;=BE154*$F$5,0,BE89)</f>
        <v>0</v>
      </c>
      <c r="BF23" s="331">
        <f>+IF(SUM($F89:BE89)&gt;=BF154*$F$5,0,BF89)</f>
        <v>0</v>
      </c>
      <c r="BG23" s="331">
        <f>+IF(SUM($F89:BF89)&gt;=BG154*$F$5,0,BG89)</f>
        <v>0</v>
      </c>
      <c r="BH23" s="331">
        <f>+IF(SUM($F89:BG89)&gt;=BH154*$F$5,0,BH89)</f>
        <v>0</v>
      </c>
      <c r="BI23" s="331">
        <f>+IF(SUM($F89:BH89)&gt;=BI154*$F$5,0,BI89)</f>
        <v>0</v>
      </c>
      <c r="BJ23" s="331">
        <f>+IF(SUM($F89:BI89)&gt;=BJ154*$F$5,0,BJ89)</f>
        <v>0</v>
      </c>
      <c r="BK23" s="331">
        <f>+IF(SUM($F89:BJ89)&gt;=BK154*$F$5,0,BK89)</f>
        <v>0</v>
      </c>
      <c r="BL23" s="331">
        <f>+IF(SUM($F89:BK89)&gt;=BL154*$F$5,0,BL89)</f>
        <v>0</v>
      </c>
      <c r="BM23" s="331">
        <f>+IF(SUM($F89:BL89)&gt;=BM154*$F$5,0,BM89)</f>
        <v>0</v>
      </c>
    </row>
    <row r="24" spans="5:65" ht="15.75">
      <c r="E24" s="416">
        <f t="shared" si="12"/>
        <v>43807</v>
      </c>
      <c r="F24" s="331">
        <f t="shared" si="11"/>
        <v>0</v>
      </c>
      <c r="G24" s="331">
        <f>+IF(SUM($F90:F90)&gt;=G155*$F$5,0,G90)</f>
        <v>0</v>
      </c>
      <c r="H24" s="331">
        <f>+IF(SUM($F90:G90)&gt;=H155*$F$5,0,H90)</f>
        <v>0</v>
      </c>
      <c r="I24" s="331">
        <f>+IF(SUM($F90:H90)&gt;=I155*$F$5,0,I90)</f>
        <v>0</v>
      </c>
      <c r="J24" s="331">
        <f>+IF(SUM($F90:I90)&gt;=J155*$F$5,0,J90)</f>
        <v>0</v>
      </c>
      <c r="K24" s="331">
        <f>+IF(SUM($F90:J90)&gt;=K155*$F$5,0,K90)</f>
        <v>0</v>
      </c>
      <c r="L24" s="331">
        <f>+IF(SUM($F90:K90)&gt;=L155*$F$5,0,L90)</f>
        <v>0</v>
      </c>
      <c r="M24" s="331">
        <f>+IF(SUM($F90:L90)&gt;=M155*$F$5,0,M90)</f>
        <v>0</v>
      </c>
      <c r="N24" s="331">
        <f>+IF(SUM($F90:M90)&gt;=N155*$F$5,0,N90)</f>
        <v>0</v>
      </c>
      <c r="O24" s="331">
        <f>+IF(SUM($F90:N90)&gt;=O155*$F$5,0,O90)</f>
        <v>0</v>
      </c>
      <c r="P24" s="331">
        <f>+IF(SUM($F90:O90)&gt;=P155*$F$5,0,P90)</f>
        <v>0</v>
      </c>
      <c r="Q24" s="331">
        <f>+IF(SUM($F90:P90)&gt;=Q155*$F$5,0,Q90)</f>
        <v>0</v>
      </c>
      <c r="R24" s="331">
        <f>+IF(SUM($F90:Q90)&gt;=R155*$F$5,0,R90)</f>
        <v>0</v>
      </c>
      <c r="S24" s="331">
        <f>+IF(SUM($F90:R90)&gt;=S155*$F$5,0,S90)</f>
        <v>0</v>
      </c>
      <c r="T24" s="331">
        <f>+IF(SUM($F90:S90)&gt;=T155*$F$5,0,T90)</f>
        <v>0</v>
      </c>
      <c r="U24" s="331">
        <f>+IF(SUM($F90:T90)&gt;=U155*$F$5,0,U90)</f>
        <v>0</v>
      </c>
      <c r="V24" s="331">
        <f>+IF(SUM($F90:U90)&gt;=V155*$F$5,0,V90)</f>
        <v>0</v>
      </c>
      <c r="W24" s="331">
        <f>+IF(SUM($F90:V90)&gt;=W155*$F$5,0,W90)</f>
        <v>0</v>
      </c>
      <c r="X24" s="331">
        <f>+IF(SUM($F90:W90)&gt;=X155*$F$5,0,X90)</f>
        <v>0</v>
      </c>
      <c r="Y24" s="331">
        <f>+IF(SUM($F90:X90)&gt;=Y155*$F$5,0,Y90)</f>
        <v>0</v>
      </c>
      <c r="Z24" s="331">
        <f>+IF(SUM($F90:Y90)&gt;=Z155*$F$5,0,Z90)</f>
        <v>0</v>
      </c>
      <c r="AA24" s="331">
        <f>+IF(SUM($F90:Z90)&gt;=AA155*$F$5,0,AA90)</f>
        <v>0</v>
      </c>
      <c r="AB24" s="331">
        <f>+IF(SUM($F90:AA90)&gt;=AB155*$F$5,0,AB90)</f>
        <v>0</v>
      </c>
      <c r="AC24" s="331">
        <f>+IF(SUM($F90:AB90)&gt;=AC155*$F$5,0,AC90)</f>
        <v>0</v>
      </c>
      <c r="AD24" s="331">
        <f>+IF(SUM($F90:AC90)&gt;=AD155*$F$5,0,AD90)</f>
        <v>0</v>
      </c>
      <c r="AE24" s="331">
        <f>+IF(SUM($F90:AD90)&gt;=AE155*$F$5,0,AE90)</f>
        <v>0</v>
      </c>
      <c r="AF24" s="331">
        <f>+IF(SUM($F90:AE90)&gt;=AF155*$F$5,0,AF90)</f>
        <v>0</v>
      </c>
      <c r="AG24" s="331">
        <f>+IF(SUM($F90:AF90)&gt;=AG155*$F$5,0,AG90)</f>
        <v>0</v>
      </c>
      <c r="AH24" s="331">
        <f>+IF(SUM($F90:AG90)&gt;=AH155*$F$5,0,AH90)</f>
        <v>0</v>
      </c>
      <c r="AI24" s="331">
        <f>+IF(SUM($F90:AH90)&gt;=AI155*$F$5,0,AI90)</f>
        <v>0</v>
      </c>
      <c r="AJ24" s="331">
        <f>+IF(SUM($F90:AI90)&gt;=AJ155*$F$5,0,AJ90)</f>
        <v>0</v>
      </c>
      <c r="AK24" s="331">
        <f>+IF(SUM($F90:AJ90)&gt;=AK155*$F$5,0,AK90)</f>
        <v>0</v>
      </c>
      <c r="AL24" s="331">
        <f>+IF(SUM($F90:AK90)&gt;=AL155*$F$5,0,AL90)</f>
        <v>0</v>
      </c>
      <c r="AM24" s="331">
        <f>+IF(SUM($F90:AL90)&gt;=AM155*$F$5,0,AM90)</f>
        <v>0</v>
      </c>
      <c r="AN24" s="331">
        <f>+IF(SUM($F90:AM90)&gt;=AN155*$F$5,0,AN90)</f>
        <v>0</v>
      </c>
      <c r="AO24" s="331">
        <f>+IF(SUM($F90:AN90)&gt;=AO155*$F$5,0,AO90)</f>
        <v>0</v>
      </c>
      <c r="AP24" s="331">
        <f>+IF(SUM($F90:AO90)&gt;=AP155*$F$5,0,AP90)</f>
        <v>0</v>
      </c>
      <c r="AQ24" s="331">
        <f>+IF(SUM($F90:AP90)&gt;=AQ155*$F$5,0,AQ90)</f>
        <v>0</v>
      </c>
      <c r="AR24" s="331">
        <f>+IF(SUM($F90:AQ90)&gt;=AR155*$F$5,0,AR90)</f>
        <v>0</v>
      </c>
      <c r="AS24" s="331">
        <f>+IF(SUM($F90:AR90)&gt;=AS155*$F$5,0,AS90)</f>
        <v>0</v>
      </c>
      <c r="AT24" s="331">
        <f>+IF(SUM($F90:AS90)&gt;=AT155*$F$5,0,AT90)</f>
        <v>0</v>
      </c>
      <c r="AU24" s="331">
        <f>+IF(SUM($F90:AT90)&gt;=AU155*$F$5,0,AU90)</f>
        <v>0</v>
      </c>
      <c r="AV24" s="331">
        <f>+IF(SUM($F90:AU90)&gt;=AV155*$F$5,0,AV90)</f>
        <v>0</v>
      </c>
      <c r="AW24" s="331">
        <f>+IF(SUM($F90:AV90)&gt;=AW155*$F$5,0,AW90)</f>
        <v>0</v>
      </c>
      <c r="AX24" s="331">
        <f>+IF(SUM($F90:AW90)&gt;=AX155*$F$5,0,AX90)</f>
        <v>0</v>
      </c>
      <c r="AY24" s="331">
        <f>+IF(SUM($F90:AX90)&gt;=AY155*$F$5,0,AY90)</f>
        <v>0</v>
      </c>
      <c r="AZ24" s="331">
        <f>+IF(SUM($F90:AY90)&gt;=AZ155*$F$5,0,AZ90)</f>
        <v>0</v>
      </c>
      <c r="BA24" s="331">
        <f>+IF(SUM($F90:AZ90)&gt;=BA155*$F$5,0,BA90)</f>
        <v>0</v>
      </c>
      <c r="BB24" s="331">
        <f>+IF(SUM($F90:BA90)&gt;=BB155*$F$5,0,BB90)</f>
        <v>0</v>
      </c>
      <c r="BC24" s="331">
        <f>+IF(SUM($F90:BB90)&gt;=BC155*$F$5,0,BC90)</f>
        <v>0</v>
      </c>
      <c r="BD24" s="331">
        <f>+IF(SUM($F90:BC90)&gt;=BD155*$F$5,0,BD90)</f>
        <v>0</v>
      </c>
      <c r="BE24" s="331">
        <f>+IF(SUM($F90:BD90)&gt;=BE155*$F$5,0,BE90)</f>
        <v>0</v>
      </c>
      <c r="BF24" s="331">
        <f>+IF(SUM($F90:BE90)&gt;=BF155*$F$5,0,BF90)</f>
        <v>0</v>
      </c>
      <c r="BG24" s="331">
        <f>+IF(SUM($F90:BF90)&gt;=BG155*$F$5,0,BG90)</f>
        <v>0</v>
      </c>
      <c r="BH24" s="331">
        <f>+IF(SUM($F90:BG90)&gt;=BH155*$F$5,0,BH90)</f>
        <v>0</v>
      </c>
      <c r="BI24" s="331">
        <f>+IF(SUM($F90:BH90)&gt;=BI155*$F$5,0,BI90)</f>
        <v>0</v>
      </c>
      <c r="BJ24" s="331">
        <f>+IF(SUM($F90:BI90)&gt;=BJ155*$F$5,0,BJ90)</f>
        <v>0</v>
      </c>
      <c r="BK24" s="331">
        <f>+IF(SUM($F90:BJ90)&gt;=BK155*$F$5,0,BK90)</f>
        <v>0</v>
      </c>
      <c r="BL24" s="331">
        <f>+IF(SUM($F90:BK90)&gt;=BL155*$F$5,0,BL90)</f>
        <v>0</v>
      </c>
      <c r="BM24" s="331">
        <f>+IF(SUM($F90:BL90)&gt;=BM155*$F$5,0,BM90)</f>
        <v>0</v>
      </c>
    </row>
    <row r="25" spans="2:65" ht="15.75">
      <c r="B25" s="217"/>
      <c r="E25" s="416">
        <f t="shared" si="12"/>
        <v>43838</v>
      </c>
      <c r="F25" s="331">
        <f t="shared" si="11"/>
        <v>0</v>
      </c>
      <c r="G25" s="331">
        <f>+IF(SUM($F91:F91)&gt;=G156*$F$5,0,G91)</f>
        <v>0</v>
      </c>
      <c r="H25" s="331">
        <f>+IF(SUM($F91:G91)&gt;=H156*$F$5,0,H91)</f>
        <v>0</v>
      </c>
      <c r="I25" s="331">
        <f>+IF(SUM($F91:H91)&gt;=I156*$F$5,0,I91)</f>
        <v>0</v>
      </c>
      <c r="J25" s="331">
        <f>+IF(SUM($F91:I91)&gt;=J156*$F$5,0,J91)</f>
        <v>0</v>
      </c>
      <c r="K25" s="331">
        <f>+IF(SUM($F91:J91)&gt;=K156*$F$5,0,K91)</f>
        <v>0</v>
      </c>
      <c r="L25" s="331">
        <f>+IF(SUM($F91:K91)&gt;=L156*$F$5,0,L91)</f>
        <v>0</v>
      </c>
      <c r="M25" s="331">
        <f>+IF(SUM($F91:L91)&gt;=M156*$F$5,0,M91)</f>
        <v>0</v>
      </c>
      <c r="N25" s="331">
        <f>+IF(SUM($F91:M91)&gt;=N156*$F$5,0,N91)</f>
        <v>0</v>
      </c>
      <c r="O25" s="331">
        <f>+IF(SUM($F91:N91)&gt;=O156*$F$5,0,O91)</f>
        <v>0</v>
      </c>
      <c r="P25" s="331">
        <f>+IF(SUM($F91:O91)&gt;=P156*$F$5,0,P91)</f>
        <v>0</v>
      </c>
      <c r="Q25" s="331">
        <f>+IF(SUM($F91:P91)&gt;=Q156*$F$5,0,Q91)</f>
        <v>0</v>
      </c>
      <c r="R25" s="331">
        <f>+IF(SUM($F91:Q91)&gt;=R156*$F$5,0,R91)</f>
        <v>0</v>
      </c>
      <c r="S25" s="331">
        <f>+IF(SUM($F91:R91)&gt;=S156*$F$5,0,S91)</f>
        <v>0</v>
      </c>
      <c r="T25" s="331">
        <f>+IF(SUM($F91:S91)&gt;=T156*$F$5,0,T91)</f>
        <v>0</v>
      </c>
      <c r="U25" s="331">
        <f>+IF(SUM($F91:T91)&gt;=U156*$F$5,0,U91)</f>
        <v>0</v>
      </c>
      <c r="V25" s="331">
        <f>+IF(SUM($F91:U91)&gt;=V156*$F$5,0,V91)</f>
        <v>0</v>
      </c>
      <c r="W25" s="331">
        <f>+IF(SUM($F91:V91)&gt;=W156*$F$5,0,W91)</f>
        <v>0</v>
      </c>
      <c r="X25" s="331">
        <f>+IF(SUM($F91:W91)&gt;=X156*$F$5,0,X91)</f>
        <v>0</v>
      </c>
      <c r="Y25" s="331">
        <f>+IF(SUM($F91:X91)&gt;=Y156*$F$5,0,Y91)</f>
        <v>0</v>
      </c>
      <c r="Z25" s="331">
        <f>+IF(SUM($F91:Y91)&gt;=Z156*$F$5,0,Z91)</f>
        <v>0</v>
      </c>
      <c r="AA25" s="331">
        <f>+IF(SUM($F91:Z91)&gt;=AA156*$F$5,0,AA91)</f>
        <v>0</v>
      </c>
      <c r="AB25" s="331">
        <f>+IF(SUM($F91:AA91)&gt;=AB156*$F$5,0,AB91)</f>
        <v>0</v>
      </c>
      <c r="AC25" s="331">
        <f>+IF(SUM($F91:AB91)&gt;=AC156*$F$5,0,AC91)</f>
        <v>0</v>
      </c>
      <c r="AD25" s="331">
        <f>+IF(SUM($F91:AC91)&gt;=AD156*$F$5,0,AD91)</f>
        <v>0</v>
      </c>
      <c r="AE25" s="331">
        <f>+IF(SUM($F91:AD91)&gt;=AE156*$F$5,0,AE91)</f>
        <v>0</v>
      </c>
      <c r="AF25" s="331">
        <f>+IF(SUM($F91:AE91)&gt;=AF156*$F$5,0,AF91)</f>
        <v>0</v>
      </c>
      <c r="AG25" s="331">
        <f>+IF(SUM($F91:AF91)&gt;=AG156*$F$5,0,AG91)</f>
        <v>0</v>
      </c>
      <c r="AH25" s="331">
        <f>+IF(SUM($F91:AG91)&gt;=AH156*$F$5,0,AH91)</f>
        <v>0</v>
      </c>
      <c r="AI25" s="331">
        <f>+IF(SUM($F91:AH91)&gt;=AI156*$F$5,0,AI91)</f>
        <v>0</v>
      </c>
      <c r="AJ25" s="331">
        <f>+IF(SUM($F91:AI91)&gt;=AJ156*$F$5,0,AJ91)</f>
        <v>0</v>
      </c>
      <c r="AK25" s="331">
        <f>+IF(SUM($F91:AJ91)&gt;=AK156*$F$5,0,AK91)</f>
        <v>0</v>
      </c>
      <c r="AL25" s="331">
        <f>+IF(SUM($F91:AK91)&gt;=AL156*$F$5,0,AL91)</f>
        <v>0</v>
      </c>
      <c r="AM25" s="331">
        <f>+IF(SUM($F91:AL91)&gt;=AM156*$F$5,0,AM91)</f>
        <v>0</v>
      </c>
      <c r="AN25" s="331">
        <f>+IF(SUM($F91:AM91)&gt;=AN156*$F$5,0,AN91)</f>
        <v>0</v>
      </c>
      <c r="AO25" s="331">
        <f>+IF(SUM($F91:AN91)&gt;=AO156*$F$5,0,AO91)</f>
        <v>0</v>
      </c>
      <c r="AP25" s="331">
        <f>+IF(SUM($F91:AO91)&gt;=AP156*$F$5,0,AP91)</f>
        <v>0</v>
      </c>
      <c r="AQ25" s="331">
        <f>+IF(SUM($F91:AP91)&gt;=AQ156*$F$5,0,AQ91)</f>
        <v>0</v>
      </c>
      <c r="AR25" s="331">
        <f>+IF(SUM($F91:AQ91)&gt;=AR156*$F$5,0,AR91)</f>
        <v>0</v>
      </c>
      <c r="AS25" s="331">
        <f>+IF(SUM($F91:AR91)&gt;=AS156*$F$5,0,AS91)</f>
        <v>0</v>
      </c>
      <c r="AT25" s="331">
        <f>+IF(SUM($F91:AS91)&gt;=AT156*$F$5,0,AT91)</f>
        <v>0</v>
      </c>
      <c r="AU25" s="331">
        <f>+IF(SUM($F91:AT91)&gt;=AU156*$F$5,0,AU91)</f>
        <v>0</v>
      </c>
      <c r="AV25" s="331">
        <f>+IF(SUM($F91:AU91)&gt;=AV156*$F$5,0,AV91)</f>
        <v>0</v>
      </c>
      <c r="AW25" s="331">
        <f>+IF(SUM($F91:AV91)&gt;=AW156*$F$5,0,AW91)</f>
        <v>0</v>
      </c>
      <c r="AX25" s="331">
        <f>+IF(SUM($F91:AW91)&gt;=AX156*$F$5,0,AX91)</f>
        <v>0</v>
      </c>
      <c r="AY25" s="331">
        <f>+IF(SUM($F91:AX91)&gt;=AY156*$F$5,0,AY91)</f>
        <v>0</v>
      </c>
      <c r="AZ25" s="331">
        <f>+IF(SUM($F91:AY91)&gt;=AZ156*$F$5,0,AZ91)</f>
        <v>0</v>
      </c>
      <c r="BA25" s="331">
        <f>+IF(SUM($F91:AZ91)&gt;=BA156*$F$5,0,BA91)</f>
        <v>0</v>
      </c>
      <c r="BB25" s="331">
        <f>+IF(SUM($F91:BA91)&gt;=BB156*$F$5,0,BB91)</f>
        <v>0</v>
      </c>
      <c r="BC25" s="331">
        <f>+IF(SUM($F91:BB91)&gt;=BC156*$F$5,0,BC91)</f>
        <v>0</v>
      </c>
      <c r="BD25" s="331">
        <f>+IF(SUM($F91:BC91)&gt;=BD156*$F$5,0,BD91)</f>
        <v>0</v>
      </c>
      <c r="BE25" s="331">
        <f>+IF(SUM($F91:BD91)&gt;=BE156*$F$5,0,BE91)</f>
        <v>0</v>
      </c>
      <c r="BF25" s="331">
        <f>+IF(SUM($F91:BE91)&gt;=BF156*$F$5,0,BF91)</f>
        <v>0</v>
      </c>
      <c r="BG25" s="331">
        <f>+IF(SUM($F91:BF91)&gt;=BG156*$F$5,0,BG91)</f>
        <v>0</v>
      </c>
      <c r="BH25" s="331">
        <f>+IF(SUM($F91:BG91)&gt;=BH156*$F$5,0,BH91)</f>
        <v>0</v>
      </c>
      <c r="BI25" s="331">
        <f>+IF(SUM($F91:BH91)&gt;=BI156*$F$5,0,BI91)</f>
        <v>0</v>
      </c>
      <c r="BJ25" s="331">
        <f>+IF(SUM($F91:BI91)&gt;=BJ156*$F$5,0,BJ91)</f>
        <v>0</v>
      </c>
      <c r="BK25" s="331">
        <f>+IF(SUM($F91:BJ91)&gt;=BK156*$F$5,0,BK91)</f>
        <v>0</v>
      </c>
      <c r="BL25" s="331">
        <f>+IF(SUM($F91:BK91)&gt;=BL156*$F$5,0,BL91)</f>
        <v>0</v>
      </c>
      <c r="BM25" s="331">
        <f>+IF(SUM($F91:BL91)&gt;=BM156*$F$5,0,BM91)</f>
        <v>0</v>
      </c>
    </row>
    <row r="26" spans="5:65" s="331" customFormat="1" ht="15.75">
      <c r="E26" s="416">
        <f t="shared" si="12"/>
        <v>43869</v>
      </c>
      <c r="F26" s="331">
        <f t="shared" si="11"/>
        <v>0</v>
      </c>
      <c r="G26" s="331">
        <f>+IF(SUM($F92:F92)&gt;=G157*$F$5,0,G92)</f>
        <v>0</v>
      </c>
      <c r="H26" s="331">
        <f>+IF(SUM($F92:G92)&gt;=H157*$F$5,0,H92)</f>
        <v>0</v>
      </c>
      <c r="I26" s="331">
        <f>+IF(SUM($F92:H92)&gt;=I157*$F$5,0,I92)</f>
        <v>0</v>
      </c>
      <c r="J26" s="331">
        <f>+IF(SUM($F92:I92)&gt;=J157*$F$5,0,J92)</f>
        <v>0</v>
      </c>
      <c r="K26" s="331">
        <f>+IF(SUM($F92:J92)&gt;=K157*$F$5,0,K92)</f>
        <v>0</v>
      </c>
      <c r="L26" s="331">
        <f>+IF(SUM($F92:K92)&gt;=L157*$F$5,0,L92)</f>
        <v>0</v>
      </c>
      <c r="M26" s="331">
        <f>+IF(SUM($F92:L92)&gt;=M157*$F$5,0,M92)</f>
        <v>0</v>
      </c>
      <c r="N26" s="331">
        <f>+IF(SUM($F92:M92)&gt;=N157*$F$5,0,N92)</f>
        <v>0</v>
      </c>
      <c r="O26" s="331">
        <f>+IF(SUM($F92:N92)&gt;=O157*$F$5,0,O92)</f>
        <v>0</v>
      </c>
      <c r="P26" s="331">
        <f>+IF(SUM($F92:O92)&gt;=P157*$F$5,0,P92)</f>
        <v>0</v>
      </c>
      <c r="Q26" s="331">
        <f>+IF(SUM($F92:P92)&gt;=Q157*$F$5,0,Q92)</f>
        <v>0</v>
      </c>
      <c r="R26" s="331">
        <f>+IF(SUM($F92:Q92)&gt;=R157*$F$5,0,R92)</f>
        <v>0</v>
      </c>
      <c r="S26" s="331">
        <f>+IF(SUM($F92:R92)&gt;=S157*$F$5,0,S92)</f>
        <v>0</v>
      </c>
      <c r="T26" s="331">
        <f>+IF(SUM($F92:S92)&gt;=T157*$F$5,0,T92)</f>
        <v>0</v>
      </c>
      <c r="U26" s="331">
        <f>+IF(SUM($F92:T92)&gt;=U157*$F$5,0,U92)</f>
        <v>0</v>
      </c>
      <c r="V26" s="331">
        <f>+IF(SUM($F92:U92)&gt;=V157*$F$5,0,V92)</f>
        <v>0</v>
      </c>
      <c r="W26" s="331">
        <f>+IF(SUM($F92:V92)&gt;=W157*$F$5,0,W92)</f>
        <v>0</v>
      </c>
      <c r="X26" s="331">
        <f>+IF(SUM($F92:W92)&gt;=X157*$F$5,0,X92)</f>
        <v>0</v>
      </c>
      <c r="Y26" s="331">
        <f>+IF(SUM($F92:X92)&gt;=Y157*$F$5,0,Y92)</f>
        <v>0</v>
      </c>
      <c r="Z26" s="331">
        <f>+IF(SUM($F92:Y92)&gt;=Z157*$F$5,0,Z92)</f>
        <v>0</v>
      </c>
      <c r="AA26" s="331">
        <f>+IF(SUM($F92:Z92)&gt;=AA157*$F$5,0,AA92)</f>
        <v>0</v>
      </c>
      <c r="AB26" s="331">
        <f>+IF(SUM($F92:AA92)&gt;=AB157*$F$5,0,AB92)</f>
        <v>0</v>
      </c>
      <c r="AC26" s="331">
        <f>+IF(SUM($F92:AB92)&gt;=AC157*$F$5,0,AC92)</f>
        <v>0</v>
      </c>
      <c r="AD26" s="331">
        <f>+IF(SUM($F92:AC92)&gt;=AD157*$F$5,0,AD92)</f>
        <v>0</v>
      </c>
      <c r="AE26" s="331">
        <f>+IF(SUM($F92:AD92)&gt;=AE157*$F$5,0,AE92)</f>
        <v>0</v>
      </c>
      <c r="AF26" s="331">
        <f>+IF(SUM($F92:AE92)&gt;=AF157*$F$5,0,AF92)</f>
        <v>0</v>
      </c>
      <c r="AG26" s="331">
        <f>+IF(SUM($F92:AF92)&gt;=AG157*$F$5,0,AG92)</f>
        <v>0</v>
      </c>
      <c r="AH26" s="331">
        <f>+IF(SUM($F92:AG92)&gt;=AH157*$F$5,0,AH92)</f>
        <v>0</v>
      </c>
      <c r="AI26" s="331">
        <f>+IF(SUM($F92:AH92)&gt;=AI157*$F$5,0,AI92)</f>
        <v>0</v>
      </c>
      <c r="AJ26" s="331">
        <f>+IF(SUM($F92:AI92)&gt;=AJ157*$F$5,0,AJ92)</f>
        <v>0</v>
      </c>
      <c r="AK26" s="331">
        <f>+IF(SUM($F92:AJ92)&gt;=AK157*$F$5,0,AK92)</f>
        <v>0</v>
      </c>
      <c r="AL26" s="331">
        <f>+IF(SUM($F92:AK92)&gt;=AL157*$F$5,0,AL92)</f>
        <v>0</v>
      </c>
      <c r="AM26" s="331">
        <f>+IF(SUM($F92:AL92)&gt;=AM157*$F$5,0,AM92)</f>
        <v>0</v>
      </c>
      <c r="AN26" s="331">
        <f>+IF(SUM($F92:AM92)&gt;=AN157*$F$5,0,AN92)</f>
        <v>0</v>
      </c>
      <c r="AO26" s="331">
        <f>+IF(SUM($F92:AN92)&gt;=AO157*$F$5,0,AO92)</f>
        <v>0</v>
      </c>
      <c r="AP26" s="331">
        <f>+IF(SUM($F92:AO92)&gt;=AP157*$F$5,0,AP92)</f>
        <v>0</v>
      </c>
      <c r="AQ26" s="331">
        <f>+IF(SUM($F92:AP92)&gt;=AQ157*$F$5,0,AQ92)</f>
        <v>0</v>
      </c>
      <c r="AR26" s="331">
        <f>+IF(SUM($F92:AQ92)&gt;=AR157*$F$5,0,AR92)</f>
        <v>0</v>
      </c>
      <c r="AS26" s="331">
        <f>+IF(SUM($F92:AR92)&gt;=AS157*$F$5,0,AS92)</f>
        <v>0</v>
      </c>
      <c r="AT26" s="331">
        <f>+IF(SUM($F92:AS92)&gt;=AT157*$F$5,0,AT92)</f>
        <v>0</v>
      </c>
      <c r="AU26" s="331">
        <f>+IF(SUM($F92:AT92)&gt;=AU157*$F$5,0,AU92)</f>
        <v>0</v>
      </c>
      <c r="AV26" s="331">
        <f>+IF(SUM($F92:AU92)&gt;=AV157*$F$5,0,AV92)</f>
        <v>0</v>
      </c>
      <c r="AW26" s="331">
        <f>+IF(SUM($F92:AV92)&gt;=AW157*$F$5,0,AW92)</f>
        <v>0</v>
      </c>
      <c r="AX26" s="331">
        <f>+IF(SUM($F92:AW92)&gt;=AX157*$F$5,0,AX92)</f>
        <v>0</v>
      </c>
      <c r="AY26" s="331">
        <f>+IF(SUM($F92:AX92)&gt;=AY157*$F$5,0,AY92)</f>
        <v>0</v>
      </c>
      <c r="AZ26" s="331">
        <f>+IF(SUM($F92:AY92)&gt;=AZ157*$F$5,0,AZ92)</f>
        <v>0</v>
      </c>
      <c r="BA26" s="331">
        <f>+IF(SUM($F92:AZ92)&gt;=BA157*$F$5,0,BA92)</f>
        <v>0</v>
      </c>
      <c r="BB26" s="331">
        <f>+IF(SUM($F92:BA92)&gt;=BB157*$F$5,0,BB92)</f>
        <v>0</v>
      </c>
      <c r="BC26" s="331">
        <f>+IF(SUM($F92:BB92)&gt;=BC157*$F$5,0,BC92)</f>
        <v>0</v>
      </c>
      <c r="BD26" s="331">
        <f>+IF(SUM($F92:BC92)&gt;=BD157*$F$5,0,BD92)</f>
        <v>0</v>
      </c>
      <c r="BE26" s="331">
        <f>+IF(SUM($F92:BD92)&gt;=BE157*$F$5,0,BE92)</f>
        <v>0</v>
      </c>
      <c r="BF26" s="331">
        <f>+IF(SUM($F92:BE92)&gt;=BF157*$F$5,0,BF92)</f>
        <v>0</v>
      </c>
      <c r="BG26" s="331">
        <f>+IF(SUM($F92:BF92)&gt;=BG157*$F$5,0,BG92)</f>
        <v>0</v>
      </c>
      <c r="BH26" s="331">
        <f>+IF(SUM($F92:BG92)&gt;=BH157*$F$5,0,BH92)</f>
        <v>0</v>
      </c>
      <c r="BI26" s="331">
        <f>+IF(SUM($F92:BH92)&gt;=BI157*$F$5,0,BI92)</f>
        <v>0</v>
      </c>
      <c r="BJ26" s="331">
        <f>+IF(SUM($F92:BI92)&gt;=BJ157*$F$5,0,BJ92)</f>
        <v>0</v>
      </c>
      <c r="BK26" s="331">
        <f>+IF(SUM($F92:BJ92)&gt;=BK157*$F$5,0,BK92)</f>
        <v>0</v>
      </c>
      <c r="BL26" s="331">
        <f>+IF(SUM($F92:BK92)&gt;=BL157*$F$5,0,BL92)</f>
        <v>0</v>
      </c>
      <c r="BM26" s="331">
        <f>+IF(SUM($F92:BL92)&gt;=BM157*$F$5,0,BM92)</f>
        <v>0</v>
      </c>
    </row>
    <row r="27" spans="5:65" ht="15.75">
      <c r="E27" s="416">
        <f t="shared" si="12"/>
        <v>43900</v>
      </c>
      <c r="F27" s="331">
        <f t="shared" si="11"/>
        <v>0</v>
      </c>
      <c r="G27" s="331">
        <f>+IF(SUM($F93:F93)&gt;=G158*$F$5,0,G93)</f>
        <v>0</v>
      </c>
      <c r="H27" s="331">
        <f>+IF(SUM($F93:G93)&gt;=H158*$F$5,0,H93)</f>
        <v>0</v>
      </c>
      <c r="I27" s="331">
        <f>+IF(SUM($F93:H93)&gt;=I158*$F$5,0,I93)</f>
        <v>0</v>
      </c>
      <c r="J27" s="331">
        <f>+IF(SUM($F93:I93)&gt;=J158*$F$5,0,J93)</f>
        <v>0</v>
      </c>
      <c r="K27" s="331">
        <f>+IF(SUM($F93:J93)&gt;=K158*$F$5,0,K93)</f>
        <v>0</v>
      </c>
      <c r="L27" s="331">
        <f>+IF(SUM($F93:K93)&gt;=L158*$F$5,0,L93)</f>
        <v>0</v>
      </c>
      <c r="M27" s="331">
        <f>+IF(SUM($F93:L93)&gt;=M158*$F$5,0,M93)</f>
        <v>0</v>
      </c>
      <c r="N27" s="331">
        <f>+IF(SUM($F93:M93)&gt;=N158*$F$5,0,N93)</f>
        <v>0</v>
      </c>
      <c r="O27" s="331">
        <f>+IF(SUM($F93:N93)&gt;=O158*$F$5,0,O93)</f>
        <v>0</v>
      </c>
      <c r="P27" s="331">
        <f>+IF(SUM($F93:O93)&gt;=P158*$F$5,0,P93)</f>
        <v>0</v>
      </c>
      <c r="Q27" s="331">
        <f>+IF(SUM($F93:P93)&gt;=Q158*$F$5,0,Q93)</f>
        <v>0</v>
      </c>
      <c r="R27" s="331">
        <f>+IF(SUM($F93:Q93)&gt;=R158*$F$5,0,R93)</f>
        <v>0</v>
      </c>
      <c r="S27" s="331">
        <f>+IF(SUM($F93:R93)&gt;=S158*$F$5,0,S93)</f>
        <v>0</v>
      </c>
      <c r="T27" s="331">
        <f>+IF(SUM($F93:S93)&gt;=T158*$F$5,0,T93)</f>
        <v>0</v>
      </c>
      <c r="U27" s="331">
        <f>+IF(SUM($F93:T93)&gt;=U158*$F$5,0,U93)</f>
        <v>0</v>
      </c>
      <c r="V27" s="331">
        <f>+IF(SUM($F93:U93)&gt;=V158*$F$5,0,V93)</f>
        <v>0</v>
      </c>
      <c r="W27" s="331">
        <f>+IF(SUM($F93:V93)&gt;=W158*$F$5,0,W93)</f>
        <v>0</v>
      </c>
      <c r="X27" s="331">
        <f>+IF(SUM($F93:W93)&gt;=X158*$F$5,0,X93)</f>
        <v>0</v>
      </c>
      <c r="Y27" s="331">
        <f>+IF(SUM($F93:X93)&gt;=Y158*$F$5,0,Y93)</f>
        <v>0</v>
      </c>
      <c r="Z27" s="331">
        <f>+IF(SUM($F93:Y93)&gt;=Z158*$F$5,0,Z93)</f>
        <v>0</v>
      </c>
      <c r="AA27" s="331">
        <f>+IF(SUM($F93:Z93)&gt;=AA158*$F$5,0,AA93)</f>
        <v>0</v>
      </c>
      <c r="AB27" s="331">
        <f>+IF(SUM($F93:AA93)&gt;=AB158*$F$5,0,AB93)</f>
        <v>0</v>
      </c>
      <c r="AC27" s="331">
        <f>+IF(SUM($F93:AB93)&gt;=AC158*$F$5,0,AC93)</f>
        <v>0</v>
      </c>
      <c r="AD27" s="331">
        <f>+IF(SUM($F93:AC93)&gt;=AD158*$F$5,0,AD93)</f>
        <v>0</v>
      </c>
      <c r="AE27" s="331">
        <f>+IF(SUM($F93:AD93)&gt;=AE158*$F$5,0,AE93)</f>
        <v>0</v>
      </c>
      <c r="AF27" s="331">
        <f>+IF(SUM($F93:AE93)&gt;=AF158*$F$5,0,AF93)</f>
        <v>0</v>
      </c>
      <c r="AG27" s="331">
        <f>+IF(SUM($F93:AF93)&gt;=AG158*$F$5,0,AG93)</f>
        <v>0</v>
      </c>
      <c r="AH27" s="331">
        <f>+IF(SUM($F93:AG93)&gt;=AH158*$F$5,0,AH93)</f>
        <v>0</v>
      </c>
      <c r="AI27" s="331">
        <f>+IF(SUM($F93:AH93)&gt;=AI158*$F$5,0,AI93)</f>
        <v>0</v>
      </c>
      <c r="AJ27" s="331">
        <f>+IF(SUM($F93:AI93)&gt;=AJ158*$F$5,0,AJ93)</f>
        <v>0</v>
      </c>
      <c r="AK27" s="331">
        <f>+IF(SUM($F93:AJ93)&gt;=AK158*$F$5,0,AK93)</f>
        <v>0</v>
      </c>
      <c r="AL27" s="331">
        <f>+IF(SUM($F93:AK93)&gt;=AL158*$F$5,0,AL93)</f>
        <v>0</v>
      </c>
      <c r="AM27" s="331">
        <f>+IF(SUM($F93:AL93)&gt;=AM158*$F$5,0,AM93)</f>
        <v>0</v>
      </c>
      <c r="AN27" s="331">
        <f>+IF(SUM($F93:AM93)&gt;=AN158*$F$5,0,AN93)</f>
        <v>0</v>
      </c>
      <c r="AO27" s="331">
        <f>+IF(SUM($F93:AN93)&gt;=AO158*$F$5,0,AO93)</f>
        <v>0</v>
      </c>
      <c r="AP27" s="331">
        <f>+IF(SUM($F93:AO93)&gt;=AP158*$F$5,0,AP93)</f>
        <v>0</v>
      </c>
      <c r="AQ27" s="331">
        <f>+IF(SUM($F93:AP93)&gt;=AQ158*$F$5,0,AQ93)</f>
        <v>0</v>
      </c>
      <c r="AR27" s="331">
        <f>+IF(SUM($F93:AQ93)&gt;=AR158*$F$5,0,AR93)</f>
        <v>0</v>
      </c>
      <c r="AS27" s="331">
        <f>+IF(SUM($F93:AR93)&gt;=AS158*$F$5,0,AS93)</f>
        <v>0</v>
      </c>
      <c r="AT27" s="331">
        <f>+IF(SUM($F93:AS93)&gt;=AT158*$F$5,0,AT93)</f>
        <v>0</v>
      </c>
      <c r="AU27" s="331">
        <f>+IF(SUM($F93:AT93)&gt;=AU158*$F$5,0,AU93)</f>
        <v>0</v>
      </c>
      <c r="AV27" s="331">
        <f>+IF(SUM($F93:AU93)&gt;=AV158*$F$5,0,AV93)</f>
        <v>0</v>
      </c>
      <c r="AW27" s="331">
        <f>+IF(SUM($F93:AV93)&gt;=AW158*$F$5,0,AW93)</f>
        <v>0</v>
      </c>
      <c r="AX27" s="331">
        <f>+IF(SUM($F93:AW93)&gt;=AX158*$F$5,0,AX93)</f>
        <v>0</v>
      </c>
      <c r="AY27" s="331">
        <f>+IF(SUM($F93:AX93)&gt;=AY158*$F$5,0,AY93)</f>
        <v>0</v>
      </c>
      <c r="AZ27" s="331">
        <f>+IF(SUM($F93:AY93)&gt;=AZ158*$F$5,0,AZ93)</f>
        <v>0</v>
      </c>
      <c r="BA27" s="331">
        <f>+IF(SUM($F93:AZ93)&gt;=BA158*$F$5,0,BA93)</f>
        <v>0</v>
      </c>
      <c r="BB27" s="331">
        <f>+IF(SUM($F93:BA93)&gt;=BB158*$F$5,0,BB93)</f>
        <v>0</v>
      </c>
      <c r="BC27" s="331">
        <f>+IF(SUM($F93:BB93)&gt;=BC158*$F$5,0,BC93)</f>
        <v>0</v>
      </c>
      <c r="BD27" s="331">
        <f>+IF(SUM($F93:BC93)&gt;=BD158*$F$5,0,BD93)</f>
        <v>0</v>
      </c>
      <c r="BE27" s="331">
        <f>+IF(SUM($F93:BD93)&gt;=BE158*$F$5,0,BE93)</f>
        <v>0</v>
      </c>
      <c r="BF27" s="331">
        <f>+IF(SUM($F93:BE93)&gt;=BF158*$F$5,0,BF93)</f>
        <v>0</v>
      </c>
      <c r="BG27" s="331">
        <f>+IF(SUM($F93:BF93)&gt;=BG158*$F$5,0,BG93)</f>
        <v>0</v>
      </c>
      <c r="BH27" s="331">
        <f>+IF(SUM($F93:BG93)&gt;=BH158*$F$5,0,BH93)</f>
        <v>0</v>
      </c>
      <c r="BI27" s="331">
        <f>+IF(SUM($F93:BH93)&gt;=BI158*$F$5,0,BI93)</f>
        <v>0</v>
      </c>
      <c r="BJ27" s="331">
        <f>+IF(SUM($F93:BI93)&gt;=BJ158*$F$5,0,BJ93)</f>
        <v>0</v>
      </c>
      <c r="BK27" s="331">
        <f>+IF(SUM($F93:BJ93)&gt;=BK158*$F$5,0,BK93)</f>
        <v>0</v>
      </c>
      <c r="BL27" s="331">
        <f>+IF(SUM($F93:BK93)&gt;=BL158*$F$5,0,BL93)</f>
        <v>0</v>
      </c>
      <c r="BM27" s="331">
        <f>+IF(SUM($F93:BL93)&gt;=BM158*$F$5,0,BM93)</f>
        <v>0</v>
      </c>
    </row>
    <row r="28" spans="5:65" ht="15.75">
      <c r="E28" s="416">
        <f t="shared" si="12"/>
        <v>43931</v>
      </c>
      <c r="F28" s="331">
        <f t="shared" si="11"/>
        <v>0</v>
      </c>
      <c r="G28" s="331">
        <f>+IF(SUM($F94:F94)&gt;=G159*$F$5,0,G94)</f>
        <v>0</v>
      </c>
      <c r="H28" s="331">
        <f>+IF(SUM($F94:G94)&gt;=H159*$F$5,0,H94)</f>
        <v>0</v>
      </c>
      <c r="I28" s="331">
        <f>+IF(SUM($F94:H94)&gt;=I159*$F$5,0,I94)</f>
        <v>0</v>
      </c>
      <c r="J28" s="331">
        <f>+IF(SUM($F94:I94)&gt;=J159*$F$5,0,J94)</f>
        <v>0</v>
      </c>
      <c r="K28" s="331">
        <f>+IF(SUM($F94:J94)&gt;=K159*$F$5,0,K94)</f>
        <v>0</v>
      </c>
      <c r="L28" s="331">
        <f>+IF(SUM($F94:K94)&gt;=L159*$F$5,0,L94)</f>
        <v>0</v>
      </c>
      <c r="M28" s="331">
        <f>+IF(SUM($F94:L94)&gt;=M159*$F$5,0,M94)</f>
        <v>0</v>
      </c>
      <c r="N28" s="331">
        <f>+IF(SUM($F94:M94)&gt;=N159*$F$5,0,N94)</f>
        <v>0</v>
      </c>
      <c r="O28" s="331">
        <f>+IF(SUM($F94:N94)&gt;=O159*$F$5,0,O94)</f>
        <v>0</v>
      </c>
      <c r="P28" s="331">
        <f>+IF(SUM($F94:O94)&gt;=P159*$F$5,0,P94)</f>
        <v>0</v>
      </c>
      <c r="Q28" s="331">
        <f>+IF(SUM($F94:P94)&gt;=Q159*$F$5,0,Q94)</f>
        <v>0</v>
      </c>
      <c r="R28" s="331">
        <f>+IF(SUM($F94:Q94)&gt;=R159*$F$5,0,R94)</f>
        <v>0</v>
      </c>
      <c r="S28" s="331">
        <f>+IF(SUM($F94:R94)&gt;=S159*$F$5,0,S94)</f>
        <v>0</v>
      </c>
      <c r="T28" s="331">
        <f>+IF(SUM($F94:S94)&gt;=T159*$F$5,0,T94)</f>
        <v>0</v>
      </c>
      <c r="U28" s="331">
        <f>+IF(SUM($F94:T94)&gt;=U159*$F$5,0,U94)</f>
        <v>0</v>
      </c>
      <c r="V28" s="331">
        <f>+IF(SUM($F94:U94)&gt;=V159*$F$5,0,V94)</f>
        <v>0</v>
      </c>
      <c r="W28" s="331">
        <f>+IF(SUM($F94:V94)&gt;=W159*$F$5,0,W94)</f>
        <v>0</v>
      </c>
      <c r="X28" s="331">
        <f>+IF(SUM($F94:W94)&gt;=X159*$F$5,0,X94)</f>
        <v>0</v>
      </c>
      <c r="Y28" s="331">
        <f>+IF(SUM($F94:X94)&gt;=Y159*$F$5,0,Y94)</f>
        <v>0</v>
      </c>
      <c r="Z28" s="331">
        <f>+IF(SUM($F94:Y94)&gt;=Z159*$F$5,0,Z94)</f>
        <v>0</v>
      </c>
      <c r="AA28" s="331">
        <f>+IF(SUM($F94:Z94)&gt;=AA159*$F$5,0,AA94)</f>
        <v>0</v>
      </c>
      <c r="AB28" s="331">
        <f>+IF(SUM($F94:AA94)&gt;=AB159*$F$5,0,AB94)</f>
        <v>0</v>
      </c>
      <c r="AC28" s="331">
        <f>+IF(SUM($F94:AB94)&gt;=AC159*$F$5,0,AC94)</f>
        <v>0</v>
      </c>
      <c r="AD28" s="331">
        <f>+IF(SUM($F94:AC94)&gt;=AD159*$F$5,0,AD94)</f>
        <v>0</v>
      </c>
      <c r="AE28" s="331">
        <f>+IF(SUM($F94:AD94)&gt;=AE159*$F$5,0,AE94)</f>
        <v>0</v>
      </c>
      <c r="AF28" s="331">
        <f>+IF(SUM($F94:AE94)&gt;=AF159*$F$5,0,AF94)</f>
        <v>0</v>
      </c>
      <c r="AG28" s="331">
        <f>+IF(SUM($F94:AF94)&gt;=AG159*$F$5,0,AG94)</f>
        <v>0</v>
      </c>
      <c r="AH28" s="331">
        <f>+IF(SUM($F94:AG94)&gt;=AH159*$F$5,0,AH94)</f>
        <v>0</v>
      </c>
      <c r="AI28" s="331">
        <f>+IF(SUM($F94:AH94)&gt;=AI159*$F$5,0,AI94)</f>
        <v>0</v>
      </c>
      <c r="AJ28" s="331">
        <f>+IF(SUM($F94:AI94)&gt;=AJ159*$F$5,0,AJ94)</f>
        <v>0</v>
      </c>
      <c r="AK28" s="331">
        <f>+IF(SUM($F94:AJ94)&gt;=AK159*$F$5,0,AK94)</f>
        <v>0</v>
      </c>
      <c r="AL28" s="331">
        <f>+IF(SUM($F94:AK94)&gt;=AL159*$F$5,0,AL94)</f>
        <v>0</v>
      </c>
      <c r="AM28" s="331">
        <f>+IF(SUM($F94:AL94)&gt;=AM159*$F$5,0,AM94)</f>
        <v>0</v>
      </c>
      <c r="AN28" s="331">
        <f>+IF(SUM($F94:AM94)&gt;=AN159*$F$5,0,AN94)</f>
        <v>0</v>
      </c>
      <c r="AO28" s="331">
        <f>+IF(SUM($F94:AN94)&gt;=AO159*$F$5,0,AO94)</f>
        <v>0</v>
      </c>
      <c r="AP28" s="331">
        <f>+IF(SUM($F94:AO94)&gt;=AP159*$F$5,0,AP94)</f>
        <v>0</v>
      </c>
      <c r="AQ28" s="331">
        <f>+IF(SUM($F94:AP94)&gt;=AQ159*$F$5,0,AQ94)</f>
        <v>0</v>
      </c>
      <c r="AR28" s="331">
        <f>+IF(SUM($F94:AQ94)&gt;=AR159*$F$5,0,AR94)</f>
        <v>0</v>
      </c>
      <c r="AS28" s="331">
        <f>+IF(SUM($F94:AR94)&gt;=AS159*$F$5,0,AS94)</f>
        <v>0</v>
      </c>
      <c r="AT28" s="331">
        <f>+IF(SUM($F94:AS94)&gt;=AT159*$F$5,0,AT94)</f>
        <v>0</v>
      </c>
      <c r="AU28" s="331">
        <f>+IF(SUM($F94:AT94)&gt;=AU159*$F$5,0,AU94)</f>
        <v>0</v>
      </c>
      <c r="AV28" s="331">
        <f>+IF(SUM($F94:AU94)&gt;=AV159*$F$5,0,AV94)</f>
        <v>0</v>
      </c>
      <c r="AW28" s="331">
        <f>+IF(SUM($F94:AV94)&gt;=AW159*$F$5,0,AW94)</f>
        <v>0</v>
      </c>
      <c r="AX28" s="331">
        <f>+IF(SUM($F94:AW94)&gt;=AX159*$F$5,0,AX94)</f>
        <v>0</v>
      </c>
      <c r="AY28" s="331">
        <f>+IF(SUM($F94:AX94)&gt;=AY159*$F$5,0,AY94)</f>
        <v>0</v>
      </c>
      <c r="AZ28" s="331">
        <f>+IF(SUM($F94:AY94)&gt;=AZ159*$F$5,0,AZ94)</f>
        <v>0</v>
      </c>
      <c r="BA28" s="331">
        <f>+IF(SUM($F94:AZ94)&gt;=BA159*$F$5,0,BA94)</f>
        <v>0</v>
      </c>
      <c r="BB28" s="331">
        <f>+IF(SUM($F94:BA94)&gt;=BB159*$F$5,0,BB94)</f>
        <v>0</v>
      </c>
      <c r="BC28" s="331">
        <f>+IF(SUM($F94:BB94)&gt;=BC159*$F$5,0,BC94)</f>
        <v>0</v>
      </c>
      <c r="BD28" s="331">
        <f>+IF(SUM($F94:BC94)&gt;=BD159*$F$5,0,BD94)</f>
        <v>0</v>
      </c>
      <c r="BE28" s="331">
        <f>+IF(SUM($F94:BD94)&gt;=BE159*$F$5,0,BE94)</f>
        <v>0</v>
      </c>
      <c r="BF28" s="331">
        <f>+IF(SUM($F94:BE94)&gt;=BF159*$F$5,0,BF94)</f>
        <v>0</v>
      </c>
      <c r="BG28" s="331">
        <f>+IF(SUM($F94:BF94)&gt;=BG159*$F$5,0,BG94)</f>
        <v>0</v>
      </c>
      <c r="BH28" s="331">
        <f>+IF(SUM($F94:BG94)&gt;=BH159*$F$5,0,BH94)</f>
        <v>0</v>
      </c>
      <c r="BI28" s="331">
        <f>+IF(SUM($F94:BH94)&gt;=BI159*$F$5,0,BI94)</f>
        <v>0</v>
      </c>
      <c r="BJ28" s="331">
        <f>+IF(SUM($F94:BI94)&gt;=BJ159*$F$5,0,BJ94)</f>
        <v>0</v>
      </c>
      <c r="BK28" s="331">
        <f>+IF(SUM($F94:BJ94)&gt;=BK159*$F$5,0,BK94)</f>
        <v>0</v>
      </c>
      <c r="BL28" s="331">
        <f>+IF(SUM($F94:BK94)&gt;=BL159*$F$5,0,BL94)</f>
        <v>0</v>
      </c>
      <c r="BM28" s="331">
        <f>+IF(SUM($F94:BL94)&gt;=BM159*$F$5,0,BM94)</f>
        <v>0</v>
      </c>
    </row>
    <row r="29" spans="5:65" ht="15.75">
      <c r="E29" s="416">
        <f t="shared" si="12"/>
        <v>43962</v>
      </c>
      <c r="F29" s="331">
        <f t="shared" si="11"/>
        <v>0</v>
      </c>
      <c r="G29" s="331">
        <f>+IF(SUM($F95:F95)&gt;=G160*$F$5,0,G95)</f>
        <v>0</v>
      </c>
      <c r="H29" s="331">
        <f>+IF(SUM($F95:G95)&gt;=H160*$F$5,0,H95)</f>
        <v>0</v>
      </c>
      <c r="I29" s="331">
        <f>+IF(SUM($F95:H95)&gt;=I160*$F$5,0,I95)</f>
        <v>0</v>
      </c>
      <c r="J29" s="331">
        <f>+IF(SUM($F95:I95)&gt;=J160*$F$5,0,J95)</f>
        <v>0</v>
      </c>
      <c r="K29" s="331">
        <f>+IF(SUM($F95:J95)&gt;=K160*$F$5,0,K95)</f>
        <v>0</v>
      </c>
      <c r="L29" s="331">
        <f>+IF(SUM($F95:K95)&gt;=L160*$F$5,0,L95)</f>
        <v>0</v>
      </c>
      <c r="M29" s="331">
        <f>+IF(SUM($F95:L95)&gt;=M160*$F$5,0,M95)</f>
        <v>0</v>
      </c>
      <c r="N29" s="331">
        <f>+IF(SUM($F95:M95)&gt;=N160*$F$5,0,N95)</f>
        <v>0</v>
      </c>
      <c r="O29" s="331">
        <f>+IF(SUM($F95:N95)&gt;=O160*$F$5,0,O95)</f>
        <v>0</v>
      </c>
      <c r="P29" s="331">
        <f>+IF(SUM($F95:O95)&gt;=P160*$F$5,0,P95)</f>
        <v>0</v>
      </c>
      <c r="Q29" s="331">
        <f>+IF(SUM($F95:P95)&gt;=Q160*$F$5,0,Q95)</f>
        <v>0</v>
      </c>
      <c r="R29" s="331">
        <f>+IF(SUM($F95:Q95)&gt;=R160*$F$5,0,R95)</f>
        <v>0</v>
      </c>
      <c r="S29" s="331">
        <f>+IF(SUM($F95:R95)&gt;=S160*$F$5,0,S95)</f>
        <v>0</v>
      </c>
      <c r="T29" s="331">
        <f>+IF(SUM($F95:S95)&gt;=T160*$F$5,0,T95)</f>
        <v>0</v>
      </c>
      <c r="U29" s="331">
        <f>+IF(SUM($F95:T95)&gt;=U160*$F$5,0,U95)</f>
        <v>0</v>
      </c>
      <c r="V29" s="331">
        <f>+IF(SUM($F95:U95)&gt;=V160*$F$5,0,V95)</f>
        <v>0</v>
      </c>
      <c r="W29" s="331">
        <f>+IF(SUM($F95:V95)&gt;=W160*$F$5,0,W95)</f>
        <v>0</v>
      </c>
      <c r="X29" s="331">
        <f>+IF(SUM($F95:W95)&gt;=X160*$F$5,0,X95)</f>
        <v>0</v>
      </c>
      <c r="Y29" s="331">
        <f>+IF(SUM($F95:X95)&gt;=Y160*$F$5,0,Y95)</f>
        <v>0</v>
      </c>
      <c r="Z29" s="331">
        <f>+IF(SUM($F95:Y95)&gt;=Z160*$F$5,0,Z95)</f>
        <v>0</v>
      </c>
      <c r="AA29" s="331">
        <f>+IF(SUM($F95:Z95)&gt;=AA160*$F$5,0,AA95)</f>
        <v>0</v>
      </c>
      <c r="AB29" s="331">
        <f>+IF(SUM($F95:AA95)&gt;=AB160*$F$5,0,AB95)</f>
        <v>0</v>
      </c>
      <c r="AC29" s="331">
        <f>+IF(SUM($F95:AB95)&gt;=AC160*$F$5,0,AC95)</f>
        <v>0</v>
      </c>
      <c r="AD29" s="331">
        <f>+IF(SUM($F95:AC95)&gt;=AD160*$F$5,0,AD95)</f>
        <v>0</v>
      </c>
      <c r="AE29" s="331">
        <f>+IF(SUM($F95:AD95)&gt;=AE160*$F$5,0,AE95)</f>
        <v>0</v>
      </c>
      <c r="AF29" s="331">
        <f>+IF(SUM($F95:AE95)&gt;=AF160*$F$5,0,AF95)</f>
        <v>0</v>
      </c>
      <c r="AG29" s="331">
        <f>+IF(SUM($F95:AF95)&gt;=AG160*$F$5,0,AG95)</f>
        <v>0</v>
      </c>
      <c r="AH29" s="331">
        <f>+IF(SUM($F95:AG95)&gt;=AH160*$F$5,0,AH95)</f>
        <v>0</v>
      </c>
      <c r="AI29" s="331">
        <f>+IF(SUM($F95:AH95)&gt;=AI160*$F$5,0,AI95)</f>
        <v>0</v>
      </c>
      <c r="AJ29" s="331">
        <f>+IF(SUM($F95:AI95)&gt;=AJ160*$F$5,0,AJ95)</f>
        <v>0</v>
      </c>
      <c r="AK29" s="331">
        <f>+IF(SUM($F95:AJ95)&gt;=AK160*$F$5,0,AK95)</f>
        <v>0</v>
      </c>
      <c r="AL29" s="331">
        <f>+IF(SUM($F95:AK95)&gt;=AL160*$F$5,0,AL95)</f>
        <v>0</v>
      </c>
      <c r="AM29" s="331">
        <f>+IF(SUM($F95:AL95)&gt;=AM160*$F$5,0,AM95)</f>
        <v>0</v>
      </c>
      <c r="AN29" s="331">
        <f>+IF(SUM($F95:AM95)&gt;=AN160*$F$5,0,AN95)</f>
        <v>0</v>
      </c>
      <c r="AO29" s="331">
        <f>+IF(SUM($F95:AN95)&gt;=AO160*$F$5,0,AO95)</f>
        <v>0</v>
      </c>
      <c r="AP29" s="331">
        <f>+IF(SUM($F95:AO95)&gt;=AP160*$F$5,0,AP95)</f>
        <v>0</v>
      </c>
      <c r="AQ29" s="331">
        <f>+IF(SUM($F95:AP95)&gt;=AQ160*$F$5,0,AQ95)</f>
        <v>0</v>
      </c>
      <c r="AR29" s="331">
        <f>+IF(SUM($F95:AQ95)&gt;=AR160*$F$5,0,AR95)</f>
        <v>0</v>
      </c>
      <c r="AS29" s="331">
        <f>+IF(SUM($F95:AR95)&gt;=AS160*$F$5,0,AS95)</f>
        <v>0</v>
      </c>
      <c r="AT29" s="331">
        <f>+IF(SUM($F95:AS95)&gt;=AT160*$F$5,0,AT95)</f>
        <v>0</v>
      </c>
      <c r="AU29" s="331">
        <f>+IF(SUM($F95:AT95)&gt;=AU160*$F$5,0,AU95)</f>
        <v>0</v>
      </c>
      <c r="AV29" s="331">
        <f>+IF(SUM($F95:AU95)&gt;=AV160*$F$5,0,AV95)</f>
        <v>0</v>
      </c>
      <c r="AW29" s="331">
        <f>+IF(SUM($F95:AV95)&gt;=AW160*$F$5,0,AW95)</f>
        <v>0</v>
      </c>
      <c r="AX29" s="331">
        <f>+IF(SUM($F95:AW95)&gt;=AX160*$F$5,0,AX95)</f>
        <v>0</v>
      </c>
      <c r="AY29" s="331">
        <f>+IF(SUM($F95:AX95)&gt;=AY160*$F$5,0,AY95)</f>
        <v>0</v>
      </c>
      <c r="AZ29" s="331">
        <f>+IF(SUM($F95:AY95)&gt;=AZ160*$F$5,0,AZ95)</f>
        <v>0</v>
      </c>
      <c r="BA29" s="331">
        <f>+IF(SUM($F95:AZ95)&gt;=BA160*$F$5,0,BA95)</f>
        <v>0</v>
      </c>
      <c r="BB29" s="331">
        <f>+IF(SUM($F95:BA95)&gt;=BB160*$F$5,0,BB95)</f>
        <v>0</v>
      </c>
      <c r="BC29" s="331">
        <f>+IF(SUM($F95:BB95)&gt;=BC160*$F$5,0,BC95)</f>
        <v>0</v>
      </c>
      <c r="BD29" s="331">
        <f>+IF(SUM($F95:BC95)&gt;=BD160*$F$5,0,BD95)</f>
        <v>0</v>
      </c>
      <c r="BE29" s="331">
        <f>+IF(SUM($F95:BD95)&gt;=BE160*$F$5,0,BE95)</f>
        <v>0</v>
      </c>
      <c r="BF29" s="331">
        <f>+IF(SUM($F95:BE95)&gt;=BF160*$F$5,0,BF95)</f>
        <v>0</v>
      </c>
      <c r="BG29" s="331">
        <f>+IF(SUM($F95:BF95)&gt;=BG160*$F$5,0,BG95)</f>
        <v>0</v>
      </c>
      <c r="BH29" s="331">
        <f>+IF(SUM($F95:BG95)&gt;=BH160*$F$5,0,BH95)</f>
        <v>0</v>
      </c>
      <c r="BI29" s="331">
        <f>+IF(SUM($F95:BH95)&gt;=BI160*$F$5,0,BI95)</f>
        <v>0</v>
      </c>
      <c r="BJ29" s="331">
        <f>+IF(SUM($F95:BI95)&gt;=BJ160*$F$5,0,BJ95)</f>
        <v>0</v>
      </c>
      <c r="BK29" s="331">
        <f>+IF(SUM($F95:BJ95)&gt;=BK160*$F$5,0,BK95)</f>
        <v>0</v>
      </c>
      <c r="BL29" s="331">
        <f>+IF(SUM($F95:BK95)&gt;=BL160*$F$5,0,BL95)</f>
        <v>0</v>
      </c>
      <c r="BM29" s="331">
        <f>+IF(SUM($F95:BL95)&gt;=BM160*$F$5,0,BM95)</f>
        <v>0</v>
      </c>
    </row>
    <row r="30" spans="5:65" ht="15.75">
      <c r="E30" s="416">
        <f t="shared" si="12"/>
        <v>43993</v>
      </c>
      <c r="F30" s="331">
        <f t="shared" si="11"/>
        <v>0</v>
      </c>
      <c r="G30" s="331">
        <f>+IF(SUM($F96:F96)&gt;=G161*$F$5,0,G96)</f>
        <v>0</v>
      </c>
      <c r="H30" s="331">
        <f>+IF(SUM($F96:G96)&gt;=H161*$F$5,0,H96)</f>
        <v>0</v>
      </c>
      <c r="I30" s="331">
        <f>+IF(SUM($F96:H96)&gt;=I161*$F$5,0,I96)</f>
        <v>0</v>
      </c>
      <c r="J30" s="331">
        <f>+IF(SUM($F96:I96)&gt;=J161*$F$5,0,J96)</f>
        <v>0</v>
      </c>
      <c r="K30" s="331">
        <f>+IF(SUM($F96:J96)&gt;=K161*$F$5,0,K96)</f>
        <v>0</v>
      </c>
      <c r="L30" s="331">
        <f>+IF(SUM($F96:K96)&gt;=L161*$F$5,0,L96)</f>
        <v>0</v>
      </c>
      <c r="M30" s="331">
        <f>+IF(SUM($F96:L96)&gt;=M161*$F$5,0,M96)</f>
        <v>0</v>
      </c>
      <c r="N30" s="331">
        <f>+IF(SUM($F96:M96)&gt;=N161*$F$5,0,N96)</f>
        <v>0</v>
      </c>
      <c r="O30" s="331">
        <f>+IF(SUM($F96:N96)&gt;=O161*$F$5,0,O96)</f>
        <v>0</v>
      </c>
      <c r="P30" s="331">
        <f>+IF(SUM($F96:O96)&gt;=P161*$F$5,0,P96)</f>
        <v>0</v>
      </c>
      <c r="Q30" s="331">
        <f>+IF(SUM($F96:P96)&gt;=Q161*$F$5,0,Q96)</f>
        <v>0</v>
      </c>
      <c r="R30" s="331">
        <f>+IF(SUM($F96:Q96)&gt;=R161*$F$5,0,R96)</f>
        <v>0</v>
      </c>
      <c r="S30" s="331">
        <f>+IF(SUM($F96:R96)&gt;=S161*$F$5,0,S96)</f>
        <v>0</v>
      </c>
      <c r="T30" s="331">
        <f>+IF(SUM($F96:S96)&gt;=T161*$F$5,0,T96)</f>
        <v>0</v>
      </c>
      <c r="U30" s="331">
        <f>+IF(SUM($F96:T96)&gt;=U161*$F$5,0,U96)</f>
        <v>0</v>
      </c>
      <c r="V30" s="331">
        <f>+IF(SUM($F96:U96)&gt;=V161*$F$5,0,V96)</f>
        <v>0</v>
      </c>
      <c r="W30" s="331">
        <f>+IF(SUM($F96:V96)&gt;=W161*$F$5,0,W96)</f>
        <v>0</v>
      </c>
      <c r="X30" s="331">
        <f>+IF(SUM($F96:W96)&gt;=X161*$F$5,0,X96)</f>
        <v>0</v>
      </c>
      <c r="Y30" s="331">
        <f>+IF(SUM($F96:X96)&gt;=Y161*$F$5,0,Y96)</f>
        <v>0</v>
      </c>
      <c r="Z30" s="331">
        <f>+IF(SUM($F96:Y96)&gt;=Z161*$F$5,0,Z96)</f>
        <v>0</v>
      </c>
      <c r="AA30" s="331">
        <f>+IF(SUM($F96:Z96)&gt;=AA161*$F$5,0,AA96)</f>
        <v>0</v>
      </c>
      <c r="AB30" s="331">
        <f>+IF(SUM($F96:AA96)&gt;=AB161*$F$5,0,AB96)</f>
        <v>0</v>
      </c>
      <c r="AC30" s="331">
        <f>+IF(SUM($F96:AB96)&gt;=AC161*$F$5,0,AC96)</f>
        <v>0</v>
      </c>
      <c r="AD30" s="331">
        <f>+IF(SUM($F96:AC96)&gt;=AD161*$F$5,0,AD96)</f>
        <v>0</v>
      </c>
      <c r="AE30" s="331">
        <f>+IF(SUM($F96:AD96)&gt;=AE161*$F$5,0,AE96)</f>
        <v>0</v>
      </c>
      <c r="AF30" s="331">
        <f>+IF(SUM($F96:AE96)&gt;=AF161*$F$5,0,AF96)</f>
        <v>0</v>
      </c>
      <c r="AG30" s="331">
        <f>+IF(SUM($F96:AF96)&gt;=AG161*$F$5,0,AG96)</f>
        <v>0</v>
      </c>
      <c r="AH30" s="331">
        <f>+IF(SUM($F96:AG96)&gt;=AH161*$F$5,0,AH96)</f>
        <v>0</v>
      </c>
      <c r="AI30" s="331">
        <f>+IF(SUM($F96:AH96)&gt;=AI161*$F$5,0,AI96)</f>
        <v>0</v>
      </c>
      <c r="AJ30" s="331">
        <f>+IF(SUM($F96:AI96)&gt;=AJ161*$F$5,0,AJ96)</f>
        <v>0</v>
      </c>
      <c r="AK30" s="331">
        <f>+IF(SUM($F96:AJ96)&gt;=AK161*$F$5,0,AK96)</f>
        <v>0</v>
      </c>
      <c r="AL30" s="331">
        <f>+IF(SUM($F96:AK96)&gt;=AL161*$F$5,0,AL96)</f>
        <v>0</v>
      </c>
      <c r="AM30" s="331">
        <f>+IF(SUM($F96:AL96)&gt;=AM161*$F$5,0,AM96)</f>
        <v>0</v>
      </c>
      <c r="AN30" s="331">
        <f>+IF(SUM($F96:AM96)&gt;=AN161*$F$5,0,AN96)</f>
        <v>0</v>
      </c>
      <c r="AO30" s="331">
        <f>+IF(SUM($F96:AN96)&gt;=AO161*$F$5,0,AO96)</f>
        <v>0</v>
      </c>
      <c r="AP30" s="331">
        <f>+IF(SUM($F96:AO96)&gt;=AP161*$F$5,0,AP96)</f>
        <v>0</v>
      </c>
      <c r="AQ30" s="331">
        <f>+IF(SUM($F96:AP96)&gt;=AQ161*$F$5,0,AQ96)</f>
        <v>0</v>
      </c>
      <c r="AR30" s="331">
        <f>+IF(SUM($F96:AQ96)&gt;=AR161*$F$5,0,AR96)</f>
        <v>0</v>
      </c>
      <c r="AS30" s="331">
        <f>+IF(SUM($F96:AR96)&gt;=AS161*$F$5,0,AS96)</f>
        <v>0</v>
      </c>
      <c r="AT30" s="331">
        <f>+IF(SUM($F96:AS96)&gt;=AT161*$F$5,0,AT96)</f>
        <v>0</v>
      </c>
      <c r="AU30" s="331">
        <f>+IF(SUM($F96:AT96)&gt;=AU161*$F$5,0,AU96)</f>
        <v>0</v>
      </c>
      <c r="AV30" s="331">
        <f>+IF(SUM($F96:AU96)&gt;=AV161*$F$5,0,AV96)</f>
        <v>0</v>
      </c>
      <c r="AW30" s="331">
        <f>+IF(SUM($F96:AV96)&gt;=AW161*$F$5,0,AW96)</f>
        <v>0</v>
      </c>
      <c r="AX30" s="331">
        <f>+IF(SUM($F96:AW96)&gt;=AX161*$F$5,0,AX96)</f>
        <v>0</v>
      </c>
      <c r="AY30" s="331">
        <f>+IF(SUM($F96:AX96)&gt;=AY161*$F$5,0,AY96)</f>
        <v>0</v>
      </c>
      <c r="AZ30" s="331">
        <f>+IF(SUM($F96:AY96)&gt;=AZ161*$F$5,0,AZ96)</f>
        <v>0</v>
      </c>
      <c r="BA30" s="331">
        <f>+IF(SUM($F96:AZ96)&gt;=BA161*$F$5,0,BA96)</f>
        <v>0</v>
      </c>
      <c r="BB30" s="331">
        <f>+IF(SUM($F96:BA96)&gt;=BB161*$F$5,0,BB96)</f>
        <v>0</v>
      </c>
      <c r="BC30" s="331">
        <f>+IF(SUM($F96:BB96)&gt;=BC161*$F$5,0,BC96)</f>
        <v>0</v>
      </c>
      <c r="BD30" s="331">
        <f>+IF(SUM($F96:BC96)&gt;=BD161*$F$5,0,BD96)</f>
        <v>0</v>
      </c>
      <c r="BE30" s="331">
        <f>+IF(SUM($F96:BD96)&gt;=BE161*$F$5,0,BE96)</f>
        <v>0</v>
      </c>
      <c r="BF30" s="331">
        <f>+IF(SUM($F96:BE96)&gt;=BF161*$F$5,0,BF96)</f>
        <v>0</v>
      </c>
      <c r="BG30" s="331">
        <f>+IF(SUM($F96:BF96)&gt;=BG161*$F$5,0,BG96)</f>
        <v>0</v>
      </c>
      <c r="BH30" s="331">
        <f>+IF(SUM($F96:BG96)&gt;=BH161*$F$5,0,BH96)</f>
        <v>0</v>
      </c>
      <c r="BI30" s="331">
        <f>+IF(SUM($F96:BH96)&gt;=BI161*$F$5,0,BI96)</f>
        <v>0</v>
      </c>
      <c r="BJ30" s="331">
        <f>+IF(SUM($F96:BI96)&gt;=BJ161*$F$5,0,BJ96)</f>
        <v>0</v>
      </c>
      <c r="BK30" s="331">
        <f>+IF(SUM($F96:BJ96)&gt;=BK161*$F$5,0,BK96)</f>
        <v>0</v>
      </c>
      <c r="BL30" s="331">
        <f>+IF(SUM($F96:BK96)&gt;=BL161*$F$5,0,BL96)</f>
        <v>0</v>
      </c>
      <c r="BM30" s="331">
        <f>+IF(SUM($F96:BL96)&gt;=BM161*$F$5,0,BM96)</f>
        <v>0</v>
      </c>
    </row>
    <row r="31" spans="5:65" ht="15.75">
      <c r="E31" s="416">
        <f t="shared" si="12"/>
        <v>44024</v>
      </c>
      <c r="F31" s="331">
        <f t="shared" si="11"/>
        <v>0</v>
      </c>
      <c r="G31" s="331">
        <f>+IF(SUM($F97:F97)&gt;=G162*$F$5,0,G97)</f>
        <v>0</v>
      </c>
      <c r="H31" s="331">
        <f>+IF(SUM($F97:G97)&gt;=H162*$F$5,0,H97)</f>
        <v>0</v>
      </c>
      <c r="I31" s="331">
        <f>+IF(SUM($F97:H97)&gt;=I162*$F$5,0,I97)</f>
        <v>0</v>
      </c>
      <c r="J31" s="331">
        <f>+IF(SUM($F97:I97)&gt;=J162*$F$5,0,J97)</f>
        <v>0</v>
      </c>
      <c r="K31" s="331">
        <f>+IF(SUM($F97:J97)&gt;=K162*$F$5,0,K97)</f>
        <v>0</v>
      </c>
      <c r="L31" s="331">
        <f>+IF(SUM($F97:K97)&gt;=L162*$F$5,0,L97)</f>
        <v>0</v>
      </c>
      <c r="M31" s="331">
        <f>+IF(SUM($F97:L97)&gt;=M162*$F$5,0,M97)</f>
        <v>0</v>
      </c>
      <c r="N31" s="331">
        <f>+IF(SUM($F97:M97)&gt;=N162*$F$5,0,N97)</f>
        <v>0</v>
      </c>
      <c r="O31" s="331">
        <f>+IF(SUM($F97:N97)&gt;=O162*$F$5,0,O97)</f>
        <v>0</v>
      </c>
      <c r="P31" s="331">
        <f>+IF(SUM($F97:O97)&gt;=P162*$F$5,0,P97)</f>
        <v>0</v>
      </c>
      <c r="Q31" s="331">
        <f>+IF(SUM($F97:P97)&gt;=Q162*$F$5,0,Q97)</f>
        <v>0</v>
      </c>
      <c r="R31" s="331">
        <f>+IF(SUM($F97:Q97)&gt;=R162*$F$5,0,R97)</f>
        <v>0</v>
      </c>
      <c r="S31" s="331">
        <f>+IF(SUM($F97:R97)&gt;=S162*$F$5,0,S97)</f>
        <v>0</v>
      </c>
      <c r="T31" s="331">
        <f>+IF(SUM($F97:S97)&gt;=T162*$F$5,0,T97)</f>
        <v>0</v>
      </c>
      <c r="U31" s="331">
        <f>+IF(SUM($F97:T97)&gt;=U162*$F$5,0,U97)</f>
        <v>0</v>
      </c>
      <c r="V31" s="331">
        <f>+IF(SUM($F97:U97)&gt;=V162*$F$5,0,V97)</f>
        <v>0</v>
      </c>
      <c r="W31" s="331">
        <f>+IF(SUM($F97:V97)&gt;=W162*$F$5,0,W97)</f>
        <v>0</v>
      </c>
      <c r="X31" s="331">
        <f>+IF(SUM($F97:W97)&gt;=X162*$F$5,0,X97)</f>
        <v>0</v>
      </c>
      <c r="Y31" s="331">
        <f>+IF(SUM($F97:X97)&gt;=Y162*$F$5,0,Y97)</f>
        <v>0</v>
      </c>
      <c r="Z31" s="331">
        <f>+IF(SUM($F97:Y97)&gt;=Z162*$F$5,0,Z97)</f>
        <v>0</v>
      </c>
      <c r="AA31" s="331">
        <f>+IF(SUM($F97:Z97)&gt;=AA162*$F$5,0,AA97)</f>
        <v>0</v>
      </c>
      <c r="AB31" s="331">
        <f>+IF(SUM($F97:AA97)&gt;=AB162*$F$5,0,AB97)</f>
        <v>0</v>
      </c>
      <c r="AC31" s="331">
        <f>+IF(SUM($F97:AB97)&gt;=AC162*$F$5,0,AC97)</f>
        <v>0</v>
      </c>
      <c r="AD31" s="331">
        <f>+IF(SUM($F97:AC97)&gt;=AD162*$F$5,0,AD97)</f>
        <v>0</v>
      </c>
      <c r="AE31" s="331">
        <f>+IF(SUM($F97:AD97)&gt;=AE162*$F$5,0,AE97)</f>
        <v>0</v>
      </c>
      <c r="AF31" s="331">
        <f>+IF(SUM($F97:AE97)&gt;=AF162*$F$5,0,AF97)</f>
        <v>0</v>
      </c>
      <c r="AG31" s="331">
        <f>+IF(SUM($F97:AF97)&gt;=AG162*$F$5,0,AG97)</f>
        <v>0</v>
      </c>
      <c r="AH31" s="331">
        <f>+IF(SUM($F97:AG97)&gt;=AH162*$F$5,0,AH97)</f>
        <v>0</v>
      </c>
      <c r="AI31" s="331">
        <f>+IF(SUM($F97:AH97)&gt;=AI162*$F$5,0,AI97)</f>
        <v>0</v>
      </c>
      <c r="AJ31" s="331">
        <f>+IF(SUM($F97:AI97)&gt;=AJ162*$F$5,0,AJ97)</f>
        <v>0</v>
      </c>
      <c r="AK31" s="331">
        <f>+IF(SUM($F97:AJ97)&gt;=AK162*$F$5,0,AK97)</f>
        <v>0</v>
      </c>
      <c r="AL31" s="331">
        <f>+IF(SUM($F97:AK97)&gt;=AL162*$F$5,0,AL97)</f>
        <v>0</v>
      </c>
      <c r="AM31" s="331">
        <f>+IF(SUM($F97:AL97)&gt;=AM162*$F$5,0,AM97)</f>
        <v>0</v>
      </c>
      <c r="AN31" s="331">
        <f>+IF(SUM($F97:AM97)&gt;=AN162*$F$5,0,AN97)</f>
        <v>0</v>
      </c>
      <c r="AO31" s="331">
        <f>+IF(SUM($F97:AN97)&gt;=AO162*$F$5,0,AO97)</f>
        <v>0</v>
      </c>
      <c r="AP31" s="331">
        <f>+IF(SUM($F97:AO97)&gt;=AP162*$F$5,0,AP97)</f>
        <v>0</v>
      </c>
      <c r="AQ31" s="331">
        <f>+IF(SUM($F97:AP97)&gt;=AQ162*$F$5,0,AQ97)</f>
        <v>0</v>
      </c>
      <c r="AR31" s="331">
        <f>+IF(SUM($F97:AQ97)&gt;=AR162*$F$5,0,AR97)</f>
        <v>0</v>
      </c>
      <c r="AS31" s="331">
        <f>+IF(SUM($F97:AR97)&gt;=AS162*$F$5,0,AS97)</f>
        <v>0</v>
      </c>
      <c r="AT31" s="331">
        <f>+IF(SUM($F97:AS97)&gt;=AT162*$F$5,0,AT97)</f>
        <v>0</v>
      </c>
      <c r="AU31" s="331">
        <f>+IF(SUM($F97:AT97)&gt;=AU162*$F$5,0,AU97)</f>
        <v>0</v>
      </c>
      <c r="AV31" s="331">
        <f>+IF(SUM($F97:AU97)&gt;=AV162*$F$5,0,AV97)</f>
        <v>0</v>
      </c>
      <c r="AW31" s="331">
        <f>+IF(SUM($F97:AV97)&gt;=AW162*$F$5,0,AW97)</f>
        <v>0</v>
      </c>
      <c r="AX31" s="331">
        <f>+IF(SUM($F97:AW97)&gt;=AX162*$F$5,0,AX97)</f>
        <v>0</v>
      </c>
      <c r="AY31" s="331">
        <f>+IF(SUM($F97:AX97)&gt;=AY162*$F$5,0,AY97)</f>
        <v>0</v>
      </c>
      <c r="AZ31" s="331">
        <f>+IF(SUM($F97:AY97)&gt;=AZ162*$F$5,0,AZ97)</f>
        <v>0</v>
      </c>
      <c r="BA31" s="331">
        <f>+IF(SUM($F97:AZ97)&gt;=BA162*$F$5,0,BA97)</f>
        <v>0</v>
      </c>
      <c r="BB31" s="331">
        <f>+IF(SUM($F97:BA97)&gt;=BB162*$F$5,0,BB97)</f>
        <v>0</v>
      </c>
      <c r="BC31" s="331">
        <f>+IF(SUM($F97:BB97)&gt;=BC162*$F$5,0,BC97)</f>
        <v>0</v>
      </c>
      <c r="BD31" s="331">
        <f>+IF(SUM($F97:BC97)&gt;=BD162*$F$5,0,BD97)</f>
        <v>0</v>
      </c>
      <c r="BE31" s="331">
        <f>+IF(SUM($F97:BD97)&gt;=BE162*$F$5,0,BE97)</f>
        <v>0</v>
      </c>
      <c r="BF31" s="331">
        <f>+IF(SUM($F97:BE97)&gt;=BF162*$F$5,0,BF97)</f>
        <v>0</v>
      </c>
      <c r="BG31" s="331">
        <f>+IF(SUM($F97:BF97)&gt;=BG162*$F$5,0,BG97)</f>
        <v>0</v>
      </c>
      <c r="BH31" s="331">
        <f>+IF(SUM($F97:BG97)&gt;=BH162*$F$5,0,BH97)</f>
        <v>0</v>
      </c>
      <c r="BI31" s="331">
        <f>+IF(SUM($F97:BH97)&gt;=BI162*$F$5,0,BI97)</f>
        <v>0</v>
      </c>
      <c r="BJ31" s="331">
        <f>+IF(SUM($F97:BI97)&gt;=BJ162*$F$5,0,BJ97)</f>
        <v>0</v>
      </c>
      <c r="BK31" s="331">
        <f>+IF(SUM($F97:BJ97)&gt;=BK162*$F$5,0,BK97)</f>
        <v>0</v>
      </c>
      <c r="BL31" s="331">
        <f>+IF(SUM($F97:BK97)&gt;=BL162*$F$5,0,BL97)</f>
        <v>0</v>
      </c>
      <c r="BM31" s="331">
        <f>+IF(SUM($F97:BL97)&gt;=BM162*$F$5,0,BM97)</f>
        <v>0</v>
      </c>
    </row>
    <row r="32" spans="5:65" ht="15.75">
      <c r="E32" s="416">
        <f t="shared" si="12"/>
        <v>44055</v>
      </c>
      <c r="F32" s="331">
        <f t="shared" si="11"/>
        <v>0</v>
      </c>
      <c r="G32" s="331">
        <f>+IF(SUM($F98:F98)&gt;=G163*$F$5,0,G98)</f>
        <v>0</v>
      </c>
      <c r="H32" s="331">
        <f>+IF(SUM($F98:G98)&gt;=H163*$F$5,0,H98)</f>
        <v>0</v>
      </c>
      <c r="I32" s="331">
        <f>+IF(SUM($F98:H98)&gt;=I163*$F$5,0,I98)</f>
        <v>0</v>
      </c>
      <c r="J32" s="331">
        <f>+IF(SUM($F98:I98)&gt;=J163*$F$5,0,J98)</f>
        <v>0</v>
      </c>
      <c r="K32" s="331">
        <f>+IF(SUM($F98:J98)&gt;=K163*$F$5,0,K98)</f>
        <v>0</v>
      </c>
      <c r="L32" s="331">
        <f>+IF(SUM($F98:K98)&gt;=L163*$F$5,0,L98)</f>
        <v>0</v>
      </c>
      <c r="M32" s="331">
        <f>+IF(SUM($F98:L98)&gt;=M163*$F$5,0,M98)</f>
        <v>0</v>
      </c>
      <c r="N32" s="331">
        <f>+IF(SUM($F98:M98)&gt;=N163*$F$5,0,N98)</f>
        <v>0</v>
      </c>
      <c r="O32" s="331">
        <f>+IF(SUM($F98:N98)&gt;=O163*$F$5,0,O98)</f>
        <v>0</v>
      </c>
      <c r="P32" s="331">
        <f>+IF(SUM($F98:O98)&gt;=P163*$F$5,0,P98)</f>
        <v>0</v>
      </c>
      <c r="Q32" s="331">
        <f>+IF(SUM($F98:P98)&gt;=Q163*$F$5,0,Q98)</f>
        <v>0</v>
      </c>
      <c r="R32" s="331">
        <f>+IF(SUM($F98:Q98)&gt;=R163*$F$5,0,R98)</f>
        <v>0</v>
      </c>
      <c r="S32" s="331">
        <f>+IF(SUM($F98:R98)&gt;=S163*$F$5,0,S98)</f>
        <v>0</v>
      </c>
      <c r="T32" s="331">
        <f>+IF(SUM($F98:S98)&gt;=T163*$F$5,0,T98)</f>
        <v>0</v>
      </c>
      <c r="U32" s="331">
        <f>+IF(SUM($F98:T98)&gt;=U163*$F$5,0,U98)</f>
        <v>0</v>
      </c>
      <c r="V32" s="331">
        <f>+IF(SUM($F98:U98)&gt;=V163*$F$5,0,V98)</f>
        <v>0</v>
      </c>
      <c r="W32" s="331">
        <f>+IF(SUM($F98:V98)&gt;=W163*$F$5,0,W98)</f>
        <v>0</v>
      </c>
      <c r="X32" s="331">
        <f>+IF(SUM($F98:W98)&gt;=X163*$F$5,0,X98)</f>
        <v>0</v>
      </c>
      <c r="Y32" s="331">
        <f>+IF(SUM($F98:X98)&gt;=Y163*$F$5,0,Y98)</f>
        <v>0</v>
      </c>
      <c r="Z32" s="331">
        <f>+IF(SUM($F98:Y98)&gt;=Z163*$F$5,0,Z98)</f>
        <v>0</v>
      </c>
      <c r="AA32" s="331">
        <f>+IF(SUM($F98:Z98)&gt;=AA163*$F$5,0,AA98)</f>
        <v>0</v>
      </c>
      <c r="AB32" s="331">
        <f>+IF(SUM($F98:AA98)&gt;=AB163*$F$5,0,AB98)</f>
        <v>0</v>
      </c>
      <c r="AC32" s="331">
        <f>+IF(SUM($F98:AB98)&gt;=AC163*$F$5,0,AC98)</f>
        <v>0</v>
      </c>
      <c r="AD32" s="331">
        <f>+IF(SUM($F98:AC98)&gt;=AD163*$F$5,0,AD98)</f>
        <v>0</v>
      </c>
      <c r="AE32" s="331">
        <f>+IF(SUM($F98:AD98)&gt;=AE163*$F$5,0,AE98)</f>
        <v>0</v>
      </c>
      <c r="AF32" s="331">
        <f>+IF(SUM($F98:AE98)&gt;=AF163*$F$5,0,AF98)</f>
        <v>0</v>
      </c>
      <c r="AG32" s="331">
        <f>+IF(SUM($F98:AF98)&gt;=AG163*$F$5,0,AG98)</f>
        <v>0</v>
      </c>
      <c r="AH32" s="331">
        <f>+IF(SUM($F98:AG98)&gt;=AH163*$F$5,0,AH98)</f>
        <v>0</v>
      </c>
      <c r="AI32" s="331">
        <f>+IF(SUM($F98:AH98)&gt;=AI163*$F$5,0,AI98)</f>
        <v>0</v>
      </c>
      <c r="AJ32" s="331">
        <f>+IF(SUM($F98:AI98)&gt;=AJ163*$F$5,0,AJ98)</f>
        <v>0</v>
      </c>
      <c r="AK32" s="331">
        <f>+IF(SUM($F98:AJ98)&gt;=AK163*$F$5,0,AK98)</f>
        <v>0</v>
      </c>
      <c r="AL32" s="331">
        <f>+IF(SUM($F98:AK98)&gt;=AL163*$F$5,0,AL98)</f>
        <v>0</v>
      </c>
      <c r="AM32" s="331">
        <f>+IF(SUM($F98:AL98)&gt;=AM163*$F$5,0,AM98)</f>
        <v>0</v>
      </c>
      <c r="AN32" s="331">
        <f>+IF(SUM($F98:AM98)&gt;=AN163*$F$5,0,AN98)</f>
        <v>0</v>
      </c>
      <c r="AO32" s="331">
        <f>+IF(SUM($F98:AN98)&gt;=AO163*$F$5,0,AO98)</f>
        <v>0</v>
      </c>
      <c r="AP32" s="331">
        <f>+IF(SUM($F98:AO98)&gt;=AP163*$F$5,0,AP98)</f>
        <v>0</v>
      </c>
      <c r="AQ32" s="331">
        <f>+IF(SUM($F98:AP98)&gt;=AQ163*$F$5,0,AQ98)</f>
        <v>0</v>
      </c>
      <c r="AR32" s="331">
        <f>+IF(SUM($F98:AQ98)&gt;=AR163*$F$5,0,AR98)</f>
        <v>0</v>
      </c>
      <c r="AS32" s="331">
        <f>+IF(SUM($F98:AR98)&gt;=AS163*$F$5,0,AS98)</f>
        <v>0</v>
      </c>
      <c r="AT32" s="331">
        <f>+IF(SUM($F98:AS98)&gt;=AT163*$F$5,0,AT98)</f>
        <v>0</v>
      </c>
      <c r="AU32" s="331">
        <f>+IF(SUM($F98:AT98)&gt;=AU163*$F$5,0,AU98)</f>
        <v>0</v>
      </c>
      <c r="AV32" s="331">
        <f>+IF(SUM($F98:AU98)&gt;=AV163*$F$5,0,AV98)</f>
        <v>0</v>
      </c>
      <c r="AW32" s="331">
        <f>+IF(SUM($F98:AV98)&gt;=AW163*$F$5,0,AW98)</f>
        <v>0</v>
      </c>
      <c r="AX32" s="331">
        <f>+IF(SUM($F98:AW98)&gt;=AX163*$F$5,0,AX98)</f>
        <v>0</v>
      </c>
      <c r="AY32" s="331">
        <f>+IF(SUM($F98:AX98)&gt;=AY163*$F$5,0,AY98)</f>
        <v>0</v>
      </c>
      <c r="AZ32" s="331">
        <f>+IF(SUM($F98:AY98)&gt;=AZ163*$F$5,0,AZ98)</f>
        <v>0</v>
      </c>
      <c r="BA32" s="331">
        <f>+IF(SUM($F98:AZ98)&gt;=BA163*$F$5,0,BA98)</f>
        <v>0</v>
      </c>
      <c r="BB32" s="331">
        <f>+IF(SUM($F98:BA98)&gt;=BB163*$F$5,0,BB98)</f>
        <v>0</v>
      </c>
      <c r="BC32" s="331">
        <f>+IF(SUM($F98:BB98)&gt;=BC163*$F$5,0,BC98)</f>
        <v>0</v>
      </c>
      <c r="BD32" s="331">
        <f>+IF(SUM($F98:BC98)&gt;=BD163*$F$5,0,BD98)</f>
        <v>0</v>
      </c>
      <c r="BE32" s="331">
        <f>+IF(SUM($F98:BD98)&gt;=BE163*$F$5,0,BE98)</f>
        <v>0</v>
      </c>
      <c r="BF32" s="331">
        <f>+IF(SUM($F98:BE98)&gt;=BF163*$F$5,0,BF98)</f>
        <v>0</v>
      </c>
      <c r="BG32" s="331">
        <f>+IF(SUM($F98:BF98)&gt;=BG163*$F$5,0,BG98)</f>
        <v>0</v>
      </c>
      <c r="BH32" s="331">
        <f>+IF(SUM($F98:BG98)&gt;=BH163*$F$5,0,BH98)</f>
        <v>0</v>
      </c>
      <c r="BI32" s="331">
        <f>+IF(SUM($F98:BH98)&gt;=BI163*$F$5,0,BI98)</f>
        <v>0</v>
      </c>
      <c r="BJ32" s="331">
        <f>+IF(SUM($F98:BI98)&gt;=BJ163*$F$5,0,BJ98)</f>
        <v>0</v>
      </c>
      <c r="BK32" s="331">
        <f>+IF(SUM($F98:BJ98)&gt;=BK163*$F$5,0,BK98)</f>
        <v>0</v>
      </c>
      <c r="BL32" s="331">
        <f>+IF(SUM($F98:BK98)&gt;=BL163*$F$5,0,BL98)</f>
        <v>0</v>
      </c>
      <c r="BM32" s="331">
        <f>+IF(SUM($F98:BL98)&gt;=BM163*$F$5,0,BM98)</f>
        <v>0</v>
      </c>
    </row>
    <row r="33" spans="5:65" ht="15.75">
      <c r="E33" s="416">
        <f t="shared" si="12"/>
        <v>44086</v>
      </c>
      <c r="F33" s="331">
        <f t="shared" si="11"/>
        <v>0</v>
      </c>
      <c r="G33" s="331">
        <f>+IF(SUM($F99:F99)&gt;=G164*$F$5,0,G99)</f>
        <v>0</v>
      </c>
      <c r="H33" s="331">
        <f>+IF(SUM($F99:G99)&gt;=H164*$F$5,0,H99)</f>
        <v>0</v>
      </c>
      <c r="I33" s="331">
        <f>+IF(SUM($F99:H99)&gt;=I164*$F$5,0,I99)</f>
        <v>0</v>
      </c>
      <c r="J33" s="331">
        <f>+IF(SUM($F99:I99)&gt;=J164*$F$5,0,J99)</f>
        <v>0</v>
      </c>
      <c r="K33" s="331">
        <f>+IF(SUM($F99:J99)&gt;=K164*$F$5,0,K99)</f>
        <v>0</v>
      </c>
      <c r="L33" s="331">
        <f>+IF(SUM($F99:K99)&gt;=L164*$F$5,0,L99)</f>
        <v>0</v>
      </c>
      <c r="M33" s="331">
        <f>+IF(SUM($F99:L99)&gt;=M164*$F$5,0,M99)</f>
        <v>0</v>
      </c>
      <c r="N33" s="331">
        <f>+IF(SUM($F99:M99)&gt;=N164*$F$5,0,N99)</f>
        <v>0</v>
      </c>
      <c r="O33" s="331">
        <f>+IF(SUM($F99:N99)&gt;=O164*$F$5,0,O99)</f>
        <v>0</v>
      </c>
      <c r="P33" s="331">
        <f>+IF(SUM($F99:O99)&gt;=P164*$F$5,0,P99)</f>
        <v>0</v>
      </c>
      <c r="Q33" s="331">
        <f>+IF(SUM($F99:P99)&gt;=Q164*$F$5,0,Q99)</f>
        <v>0</v>
      </c>
      <c r="R33" s="331">
        <f>+IF(SUM($F99:Q99)&gt;=R164*$F$5,0,R99)</f>
        <v>0</v>
      </c>
      <c r="S33" s="331">
        <f>+IF(SUM($F99:R99)&gt;=S164*$F$5,0,S99)</f>
        <v>0</v>
      </c>
      <c r="T33" s="331">
        <f>+IF(SUM($F99:S99)&gt;=T164*$F$5,0,T99)</f>
        <v>0</v>
      </c>
      <c r="U33" s="331">
        <f>+IF(SUM($F99:T99)&gt;=U164*$F$5,0,U99)</f>
        <v>0</v>
      </c>
      <c r="V33" s="331">
        <f>+IF(SUM($F99:U99)&gt;=V164*$F$5,0,V99)</f>
        <v>0</v>
      </c>
      <c r="W33" s="331">
        <f>+IF(SUM($F99:V99)&gt;=W164*$F$5,0,W99)</f>
        <v>0</v>
      </c>
      <c r="X33" s="331">
        <f>+IF(SUM($F99:W99)&gt;=X164*$F$5,0,X99)</f>
        <v>0</v>
      </c>
      <c r="Y33" s="331">
        <f>+IF(SUM($F99:X99)&gt;=Y164*$F$5,0,Y99)</f>
        <v>0</v>
      </c>
      <c r="Z33" s="331">
        <f>+IF(SUM($F99:Y99)&gt;=Z164*$F$5,0,Z99)</f>
        <v>0</v>
      </c>
      <c r="AA33" s="331">
        <f>+IF(SUM($F99:Z99)&gt;=AA164*$F$5,0,AA99)</f>
        <v>0</v>
      </c>
      <c r="AB33" s="331">
        <f>+IF(SUM($F99:AA99)&gt;=AB164*$F$5,0,AB99)</f>
        <v>0</v>
      </c>
      <c r="AC33" s="331">
        <f>+IF(SUM($F99:AB99)&gt;=AC164*$F$5,0,AC99)</f>
        <v>0</v>
      </c>
      <c r="AD33" s="331">
        <f>+IF(SUM($F99:AC99)&gt;=AD164*$F$5,0,AD99)</f>
        <v>0</v>
      </c>
      <c r="AE33" s="331">
        <f>+IF(SUM($F99:AD99)&gt;=AE164*$F$5,0,AE99)</f>
        <v>0</v>
      </c>
      <c r="AF33" s="331">
        <f>+IF(SUM($F99:AE99)&gt;=AF164*$F$5,0,AF99)</f>
        <v>0</v>
      </c>
      <c r="AG33" s="331">
        <f>+IF(SUM($F99:AF99)&gt;=AG164*$F$5,0,AG99)</f>
        <v>0</v>
      </c>
      <c r="AH33" s="331">
        <f>+IF(SUM($F99:AG99)&gt;=AH164*$F$5,0,AH99)</f>
        <v>0</v>
      </c>
      <c r="AI33" s="331">
        <f>+IF(SUM($F99:AH99)&gt;=AI164*$F$5,0,AI99)</f>
        <v>0</v>
      </c>
      <c r="AJ33" s="331">
        <f>+IF(SUM($F99:AI99)&gt;=AJ164*$F$5,0,AJ99)</f>
        <v>0</v>
      </c>
      <c r="AK33" s="331">
        <f>+IF(SUM($F99:AJ99)&gt;=AK164*$F$5,0,AK99)</f>
        <v>0</v>
      </c>
      <c r="AL33" s="331">
        <f>+IF(SUM($F99:AK99)&gt;=AL164*$F$5,0,AL99)</f>
        <v>0</v>
      </c>
      <c r="AM33" s="331">
        <f>+IF(SUM($F99:AL99)&gt;=AM164*$F$5,0,AM99)</f>
        <v>0</v>
      </c>
      <c r="AN33" s="331">
        <f>+IF(SUM($F99:AM99)&gt;=AN164*$F$5,0,AN99)</f>
        <v>0</v>
      </c>
      <c r="AO33" s="331">
        <f>+IF(SUM($F99:AN99)&gt;=AO164*$F$5,0,AO99)</f>
        <v>0</v>
      </c>
      <c r="AP33" s="331">
        <f>+IF(SUM($F99:AO99)&gt;=AP164*$F$5,0,AP99)</f>
        <v>0</v>
      </c>
      <c r="AQ33" s="331">
        <f>+IF(SUM($F99:AP99)&gt;=AQ164*$F$5,0,AQ99)</f>
        <v>0</v>
      </c>
      <c r="AR33" s="331">
        <f>+IF(SUM($F99:AQ99)&gt;=AR164*$F$5,0,AR99)</f>
        <v>0</v>
      </c>
      <c r="AS33" s="331">
        <f>+IF(SUM($F99:AR99)&gt;=AS164*$F$5,0,AS99)</f>
        <v>0</v>
      </c>
      <c r="AT33" s="331">
        <f>+IF(SUM($F99:AS99)&gt;=AT164*$F$5,0,AT99)</f>
        <v>0</v>
      </c>
      <c r="AU33" s="331">
        <f>+IF(SUM($F99:AT99)&gt;=AU164*$F$5,0,AU99)</f>
        <v>0</v>
      </c>
      <c r="AV33" s="331">
        <f>+IF(SUM($F99:AU99)&gt;=AV164*$F$5,0,AV99)</f>
        <v>0</v>
      </c>
      <c r="AW33" s="331">
        <f>+IF(SUM($F99:AV99)&gt;=AW164*$F$5,0,AW99)</f>
        <v>0</v>
      </c>
      <c r="AX33" s="331">
        <f>+IF(SUM($F99:AW99)&gt;=AX164*$F$5,0,AX99)</f>
        <v>0</v>
      </c>
      <c r="AY33" s="331">
        <f>+IF(SUM($F99:AX99)&gt;=AY164*$F$5,0,AY99)</f>
        <v>0</v>
      </c>
      <c r="AZ33" s="331">
        <f>+IF(SUM($F99:AY99)&gt;=AZ164*$F$5,0,AZ99)</f>
        <v>0</v>
      </c>
      <c r="BA33" s="331">
        <f>+IF(SUM($F99:AZ99)&gt;=BA164*$F$5,0,BA99)</f>
        <v>0</v>
      </c>
      <c r="BB33" s="331">
        <f>+IF(SUM($F99:BA99)&gt;=BB164*$F$5,0,BB99)</f>
        <v>0</v>
      </c>
      <c r="BC33" s="331">
        <f>+IF(SUM($F99:BB99)&gt;=BC164*$F$5,0,BC99)</f>
        <v>0</v>
      </c>
      <c r="BD33" s="331">
        <f>+IF(SUM($F99:BC99)&gt;=BD164*$F$5,0,BD99)</f>
        <v>0</v>
      </c>
      <c r="BE33" s="331">
        <f>+IF(SUM($F99:BD99)&gt;=BE164*$F$5,0,BE99)</f>
        <v>0</v>
      </c>
      <c r="BF33" s="331">
        <f>+IF(SUM($F99:BE99)&gt;=BF164*$F$5,0,BF99)</f>
        <v>0</v>
      </c>
      <c r="BG33" s="331">
        <f>+IF(SUM($F99:BF99)&gt;=BG164*$F$5,0,BG99)</f>
        <v>0</v>
      </c>
      <c r="BH33" s="331">
        <f>+IF(SUM($F99:BG99)&gt;=BH164*$F$5,0,BH99)</f>
        <v>0</v>
      </c>
      <c r="BI33" s="331">
        <f>+IF(SUM($F99:BH99)&gt;=BI164*$F$5,0,BI99)</f>
        <v>0</v>
      </c>
      <c r="BJ33" s="331">
        <f>+IF(SUM($F99:BI99)&gt;=BJ164*$F$5,0,BJ99)</f>
        <v>0</v>
      </c>
      <c r="BK33" s="331">
        <f>+IF(SUM($F99:BJ99)&gt;=BK164*$F$5,0,BK99)</f>
        <v>0</v>
      </c>
      <c r="BL33" s="331">
        <f>+IF(SUM($F99:BK99)&gt;=BL164*$F$5,0,BL99)</f>
        <v>0</v>
      </c>
      <c r="BM33" s="331">
        <f>+IF(SUM($F99:BL99)&gt;=BM164*$F$5,0,BM99)</f>
        <v>0</v>
      </c>
    </row>
    <row r="34" spans="5:65" ht="15.75">
      <c r="E34" s="416">
        <f t="shared" si="12"/>
        <v>44117</v>
      </c>
      <c r="F34" s="331">
        <f t="shared" si="11"/>
        <v>0</v>
      </c>
      <c r="G34" s="331">
        <f>+IF(SUM($F100:F100)&gt;=G165*$F$5,0,G100)</f>
        <v>0</v>
      </c>
      <c r="H34" s="331">
        <f>+IF(SUM($F100:G100)&gt;=H165*$F$5,0,H100)</f>
        <v>0</v>
      </c>
      <c r="I34" s="331">
        <f>+IF(SUM($F100:H100)&gt;=I165*$F$5,0,I100)</f>
        <v>0</v>
      </c>
      <c r="J34" s="331">
        <f>+IF(SUM($F100:I100)&gt;=J165*$F$5,0,J100)</f>
        <v>0</v>
      </c>
      <c r="K34" s="331">
        <f>+IF(SUM($F100:J100)&gt;=K165*$F$5,0,K100)</f>
        <v>0</v>
      </c>
      <c r="L34" s="331">
        <f>+IF(SUM($F100:K100)&gt;=L165*$F$5,0,L100)</f>
        <v>0</v>
      </c>
      <c r="M34" s="331">
        <f>+IF(SUM($F100:L100)&gt;=M165*$F$5,0,M100)</f>
        <v>0</v>
      </c>
      <c r="N34" s="331">
        <f>+IF(SUM($F100:M100)&gt;=N165*$F$5,0,N100)</f>
        <v>0</v>
      </c>
      <c r="O34" s="331">
        <f>+IF(SUM($F100:N100)&gt;=O165*$F$5,0,O100)</f>
        <v>0</v>
      </c>
      <c r="P34" s="331">
        <f>+IF(SUM($F100:O100)&gt;=P165*$F$5,0,P100)</f>
        <v>0</v>
      </c>
      <c r="Q34" s="331">
        <f>+IF(SUM($F100:P100)&gt;=Q165*$F$5,0,Q100)</f>
        <v>0</v>
      </c>
      <c r="R34" s="331">
        <f>+IF(SUM($F100:Q100)&gt;=R165*$F$5,0,R100)</f>
        <v>0</v>
      </c>
      <c r="S34" s="331">
        <f>+IF(SUM($F100:R100)&gt;=S165*$F$5,0,S100)</f>
        <v>0</v>
      </c>
      <c r="T34" s="331">
        <f>+IF(SUM($F100:S100)&gt;=T165*$F$5,0,T100)</f>
        <v>0</v>
      </c>
      <c r="U34" s="331">
        <f>+IF(SUM($F100:T100)&gt;=U165*$F$5,0,U100)</f>
        <v>0</v>
      </c>
      <c r="V34" s="331">
        <f>+IF(SUM($F100:U100)&gt;=V165*$F$5,0,V100)</f>
        <v>0</v>
      </c>
      <c r="W34" s="331">
        <f>+IF(SUM($F100:V100)&gt;=W165*$F$5,0,W100)</f>
        <v>0</v>
      </c>
      <c r="X34" s="331">
        <f>+IF(SUM($F100:W100)&gt;=X165*$F$5,0,X100)</f>
        <v>0</v>
      </c>
      <c r="Y34" s="331">
        <f>+IF(SUM($F100:X100)&gt;=Y165*$F$5,0,Y100)</f>
        <v>0</v>
      </c>
      <c r="Z34" s="331">
        <f>+IF(SUM($F100:Y100)&gt;=Z165*$F$5,0,Z100)</f>
        <v>0</v>
      </c>
      <c r="AA34" s="331">
        <f>+IF(SUM($F100:Z100)&gt;=AA165*$F$5,0,AA100)</f>
        <v>0</v>
      </c>
      <c r="AB34" s="331">
        <f>+IF(SUM($F100:AA100)&gt;=AB165*$F$5,0,AB100)</f>
        <v>0</v>
      </c>
      <c r="AC34" s="331">
        <f>+IF(SUM($F100:AB100)&gt;=AC165*$F$5,0,AC100)</f>
        <v>0</v>
      </c>
      <c r="AD34" s="331">
        <f>+IF(SUM($F100:AC100)&gt;=AD165*$F$5,0,AD100)</f>
        <v>0</v>
      </c>
      <c r="AE34" s="331">
        <f>+IF(SUM($F100:AD100)&gt;=AE165*$F$5,0,AE100)</f>
        <v>0</v>
      </c>
      <c r="AF34" s="331">
        <f>+IF(SUM($F100:AE100)&gt;=AF165*$F$5,0,AF100)</f>
        <v>0</v>
      </c>
      <c r="AG34" s="331">
        <f>+IF(SUM($F100:AF100)&gt;=AG165*$F$5,0,AG100)</f>
        <v>0</v>
      </c>
      <c r="AH34" s="331">
        <f>+IF(SUM($F100:AG100)&gt;=AH165*$F$5,0,AH100)</f>
        <v>0</v>
      </c>
      <c r="AI34" s="331">
        <f>+IF(SUM($F100:AH100)&gt;=AI165*$F$5,0,AI100)</f>
        <v>0</v>
      </c>
      <c r="AJ34" s="331">
        <f>+IF(SUM($F100:AI100)&gt;=AJ165*$F$5,0,AJ100)</f>
        <v>0</v>
      </c>
      <c r="AK34" s="331">
        <f>+IF(SUM($F100:AJ100)&gt;=AK165*$F$5,0,AK100)</f>
        <v>0</v>
      </c>
      <c r="AL34" s="331">
        <f>+IF(SUM($F100:AK100)&gt;=AL165*$F$5,0,AL100)</f>
        <v>0</v>
      </c>
      <c r="AM34" s="331">
        <f>+IF(SUM($F100:AL100)&gt;=AM165*$F$5,0,AM100)</f>
        <v>0</v>
      </c>
      <c r="AN34" s="331">
        <f>+IF(SUM($F100:AM100)&gt;=AN165*$F$5,0,AN100)</f>
        <v>0</v>
      </c>
      <c r="AO34" s="331">
        <f>+IF(SUM($F100:AN100)&gt;=AO165*$F$5,0,AO100)</f>
        <v>0</v>
      </c>
      <c r="AP34" s="331">
        <f>+IF(SUM($F100:AO100)&gt;=AP165*$F$5,0,AP100)</f>
        <v>0</v>
      </c>
      <c r="AQ34" s="331">
        <f>+IF(SUM($F100:AP100)&gt;=AQ165*$F$5,0,AQ100)</f>
        <v>0</v>
      </c>
      <c r="AR34" s="331">
        <f>+IF(SUM($F100:AQ100)&gt;=AR165*$F$5,0,AR100)</f>
        <v>0</v>
      </c>
      <c r="AS34" s="331">
        <f>+IF(SUM($F100:AR100)&gt;=AS165*$F$5,0,AS100)</f>
        <v>0</v>
      </c>
      <c r="AT34" s="331">
        <f>+IF(SUM($F100:AS100)&gt;=AT165*$F$5,0,AT100)</f>
        <v>0</v>
      </c>
      <c r="AU34" s="331">
        <f>+IF(SUM($F100:AT100)&gt;=AU165*$F$5,0,AU100)</f>
        <v>0</v>
      </c>
      <c r="AV34" s="331">
        <f>+IF(SUM($F100:AU100)&gt;=AV165*$F$5,0,AV100)</f>
        <v>0</v>
      </c>
      <c r="AW34" s="331">
        <f>+IF(SUM($F100:AV100)&gt;=AW165*$F$5,0,AW100)</f>
        <v>0</v>
      </c>
      <c r="AX34" s="331">
        <f>+IF(SUM($F100:AW100)&gt;=AX165*$F$5,0,AX100)</f>
        <v>0</v>
      </c>
      <c r="AY34" s="331">
        <f>+IF(SUM($F100:AX100)&gt;=AY165*$F$5,0,AY100)</f>
        <v>0</v>
      </c>
      <c r="AZ34" s="331">
        <f>+IF(SUM($F100:AY100)&gt;=AZ165*$F$5,0,AZ100)</f>
        <v>0</v>
      </c>
      <c r="BA34" s="331">
        <f>+IF(SUM($F100:AZ100)&gt;=BA165*$F$5,0,BA100)</f>
        <v>0</v>
      </c>
      <c r="BB34" s="331">
        <f>+IF(SUM($F100:BA100)&gt;=BB165*$F$5,0,BB100)</f>
        <v>0</v>
      </c>
      <c r="BC34" s="331">
        <f>+IF(SUM($F100:BB100)&gt;=BC165*$F$5,0,BC100)</f>
        <v>0</v>
      </c>
      <c r="BD34" s="331">
        <f>+IF(SUM($F100:BC100)&gt;=BD165*$F$5,0,BD100)</f>
        <v>0</v>
      </c>
      <c r="BE34" s="331">
        <f>+IF(SUM($F100:BD100)&gt;=BE165*$F$5,0,BE100)</f>
        <v>0</v>
      </c>
      <c r="BF34" s="331">
        <f>+IF(SUM($F100:BE100)&gt;=BF165*$F$5,0,BF100)</f>
        <v>0</v>
      </c>
      <c r="BG34" s="331">
        <f>+IF(SUM($F100:BF100)&gt;=BG165*$F$5,0,BG100)</f>
        <v>0</v>
      </c>
      <c r="BH34" s="331">
        <f>+IF(SUM($F100:BG100)&gt;=BH165*$F$5,0,BH100)</f>
        <v>0</v>
      </c>
      <c r="BI34" s="331">
        <f>+IF(SUM($F100:BH100)&gt;=BI165*$F$5,0,BI100)</f>
        <v>0</v>
      </c>
      <c r="BJ34" s="331">
        <f>+IF(SUM($F100:BI100)&gt;=BJ165*$F$5,0,BJ100)</f>
        <v>0</v>
      </c>
      <c r="BK34" s="331">
        <f>+IF(SUM($F100:BJ100)&gt;=BK165*$F$5,0,BK100)</f>
        <v>0</v>
      </c>
      <c r="BL34" s="331">
        <f>+IF(SUM($F100:BK100)&gt;=BL165*$F$5,0,BL100)</f>
        <v>0</v>
      </c>
      <c r="BM34" s="331">
        <f>+IF(SUM($F100:BL100)&gt;=BM165*$F$5,0,BM100)</f>
        <v>0</v>
      </c>
    </row>
    <row r="35" spans="5:65" ht="15.75">
      <c r="E35" s="416">
        <f t="shared" si="12"/>
        <v>44148</v>
      </c>
      <c r="F35" s="331">
        <f t="shared" si="11"/>
        <v>0</v>
      </c>
      <c r="G35" s="331">
        <f>+IF(SUM($F101:F101)&gt;=G166*$F$5,0,G101)</f>
        <v>0</v>
      </c>
      <c r="H35" s="331">
        <f>+IF(SUM($F101:G101)&gt;=H166*$F$5,0,H101)</f>
        <v>0</v>
      </c>
      <c r="I35" s="331">
        <f>+IF(SUM($F101:H101)&gt;=I166*$F$5,0,I101)</f>
        <v>0</v>
      </c>
      <c r="J35" s="331">
        <f>+IF(SUM($F101:I101)&gt;=J166*$F$5,0,J101)</f>
        <v>0</v>
      </c>
      <c r="K35" s="331">
        <f>+IF(SUM($F101:J101)&gt;=K166*$F$5,0,K101)</f>
        <v>0</v>
      </c>
      <c r="L35" s="331">
        <f>+IF(SUM($F101:K101)&gt;=L166*$F$5,0,L101)</f>
        <v>0</v>
      </c>
      <c r="M35" s="331">
        <f>+IF(SUM($F101:L101)&gt;=M166*$F$5,0,M101)</f>
        <v>0</v>
      </c>
      <c r="N35" s="331">
        <f>+IF(SUM($F101:M101)&gt;=N166*$F$5,0,N101)</f>
        <v>0</v>
      </c>
      <c r="O35" s="331">
        <f>+IF(SUM($F101:N101)&gt;=O166*$F$5,0,O101)</f>
        <v>0</v>
      </c>
      <c r="P35" s="331">
        <f>+IF(SUM($F101:O101)&gt;=P166*$F$5,0,P101)</f>
        <v>0</v>
      </c>
      <c r="Q35" s="331">
        <f>+IF(SUM($F101:P101)&gt;=Q166*$F$5,0,Q101)</f>
        <v>0</v>
      </c>
      <c r="R35" s="331">
        <f>+IF(SUM($F101:Q101)&gt;=R166*$F$5,0,R101)</f>
        <v>0</v>
      </c>
      <c r="S35" s="331">
        <f>+IF(SUM($F101:R101)&gt;=S166*$F$5,0,S101)</f>
        <v>0</v>
      </c>
      <c r="T35" s="331">
        <f>+IF(SUM($F101:S101)&gt;=T166*$F$5,0,T101)</f>
        <v>0</v>
      </c>
      <c r="U35" s="331">
        <f>+IF(SUM($F101:T101)&gt;=U166*$F$5,0,U101)</f>
        <v>0</v>
      </c>
      <c r="V35" s="331">
        <f>+IF(SUM($F101:U101)&gt;=V166*$F$5,0,V101)</f>
        <v>0</v>
      </c>
      <c r="W35" s="331">
        <f>+IF(SUM($F101:V101)&gt;=W166*$F$5,0,W101)</f>
        <v>0</v>
      </c>
      <c r="X35" s="331">
        <f>+IF(SUM($F101:W101)&gt;=X166*$F$5,0,X101)</f>
        <v>0</v>
      </c>
      <c r="Y35" s="331">
        <f>+IF(SUM($F101:X101)&gt;=Y166*$F$5,0,Y101)</f>
        <v>0</v>
      </c>
      <c r="Z35" s="331">
        <f>+IF(SUM($F101:Y101)&gt;=Z166*$F$5,0,Z101)</f>
        <v>0</v>
      </c>
      <c r="AA35" s="331">
        <f>+IF(SUM($F101:Z101)&gt;=AA166*$F$5,0,AA101)</f>
        <v>0</v>
      </c>
      <c r="AB35" s="331">
        <f>+IF(SUM($F101:AA101)&gt;=AB166*$F$5,0,AB101)</f>
        <v>0</v>
      </c>
      <c r="AC35" s="331">
        <f>+IF(SUM($F101:AB101)&gt;=AC166*$F$5,0,AC101)</f>
        <v>0</v>
      </c>
      <c r="AD35" s="331">
        <f>+IF(SUM($F101:AC101)&gt;=AD166*$F$5,0,AD101)</f>
        <v>0</v>
      </c>
      <c r="AE35" s="331">
        <f>+IF(SUM($F101:AD101)&gt;=AE166*$F$5,0,AE101)</f>
        <v>0</v>
      </c>
      <c r="AF35" s="331">
        <f>+IF(SUM($F101:AE101)&gt;=AF166*$F$5,0,AF101)</f>
        <v>0</v>
      </c>
      <c r="AG35" s="331">
        <f>+IF(SUM($F101:AF101)&gt;=AG166*$F$5,0,AG101)</f>
        <v>0</v>
      </c>
      <c r="AH35" s="331">
        <f>+IF(SUM($F101:AG101)&gt;=AH166*$F$5,0,AH101)</f>
        <v>0</v>
      </c>
      <c r="AI35" s="331">
        <f>+IF(SUM($F101:AH101)&gt;=AI166*$F$5,0,AI101)</f>
        <v>0</v>
      </c>
      <c r="AJ35" s="331">
        <f>+IF(SUM($F101:AI101)&gt;=AJ166*$F$5,0,AJ101)</f>
        <v>0</v>
      </c>
      <c r="AK35" s="331">
        <f>+IF(SUM($F101:AJ101)&gt;=AK166*$F$5,0,AK101)</f>
        <v>0</v>
      </c>
      <c r="AL35" s="331">
        <f>+IF(SUM($F101:AK101)&gt;=AL166*$F$5,0,AL101)</f>
        <v>0</v>
      </c>
      <c r="AM35" s="331">
        <f>+IF(SUM($F101:AL101)&gt;=AM166*$F$5,0,AM101)</f>
        <v>0</v>
      </c>
      <c r="AN35" s="331">
        <f>+IF(SUM($F101:AM101)&gt;=AN166*$F$5,0,AN101)</f>
        <v>0</v>
      </c>
      <c r="AO35" s="331">
        <f>+IF(SUM($F101:AN101)&gt;=AO166*$F$5,0,AO101)</f>
        <v>0</v>
      </c>
      <c r="AP35" s="331">
        <f>+IF(SUM($F101:AO101)&gt;=AP166*$F$5,0,AP101)</f>
        <v>0</v>
      </c>
      <c r="AQ35" s="331">
        <f>+IF(SUM($F101:AP101)&gt;=AQ166*$F$5,0,AQ101)</f>
        <v>0</v>
      </c>
      <c r="AR35" s="331">
        <f>+IF(SUM($F101:AQ101)&gt;=AR166*$F$5,0,AR101)</f>
        <v>0</v>
      </c>
      <c r="AS35" s="331">
        <f>+IF(SUM($F101:AR101)&gt;=AS166*$F$5,0,AS101)</f>
        <v>0</v>
      </c>
      <c r="AT35" s="331">
        <f>+IF(SUM($F101:AS101)&gt;=AT166*$F$5,0,AT101)</f>
        <v>0</v>
      </c>
      <c r="AU35" s="331">
        <f>+IF(SUM($F101:AT101)&gt;=AU166*$F$5,0,AU101)</f>
        <v>0</v>
      </c>
      <c r="AV35" s="331">
        <f>+IF(SUM($F101:AU101)&gt;=AV166*$F$5,0,AV101)</f>
        <v>0</v>
      </c>
      <c r="AW35" s="331">
        <f>+IF(SUM($F101:AV101)&gt;=AW166*$F$5,0,AW101)</f>
        <v>0</v>
      </c>
      <c r="AX35" s="331">
        <f>+IF(SUM($F101:AW101)&gt;=AX166*$F$5,0,AX101)</f>
        <v>0</v>
      </c>
      <c r="AY35" s="331">
        <f>+IF(SUM($F101:AX101)&gt;=AY166*$F$5,0,AY101)</f>
        <v>0</v>
      </c>
      <c r="AZ35" s="331">
        <f>+IF(SUM($F101:AY101)&gt;=AZ166*$F$5,0,AZ101)</f>
        <v>0</v>
      </c>
      <c r="BA35" s="331">
        <f>+IF(SUM($F101:AZ101)&gt;=BA166*$F$5,0,BA101)</f>
        <v>0</v>
      </c>
      <c r="BB35" s="331">
        <f>+IF(SUM($F101:BA101)&gt;=BB166*$F$5,0,BB101)</f>
        <v>0</v>
      </c>
      <c r="BC35" s="331">
        <f>+IF(SUM($F101:BB101)&gt;=BC166*$F$5,0,BC101)</f>
        <v>0</v>
      </c>
      <c r="BD35" s="331">
        <f>+IF(SUM($F101:BC101)&gt;=BD166*$F$5,0,BD101)</f>
        <v>0</v>
      </c>
      <c r="BE35" s="331">
        <f>+IF(SUM($F101:BD101)&gt;=BE166*$F$5,0,BE101)</f>
        <v>0</v>
      </c>
      <c r="BF35" s="331">
        <f>+IF(SUM($F101:BE101)&gt;=BF166*$F$5,0,BF101)</f>
        <v>0</v>
      </c>
      <c r="BG35" s="331">
        <f>+IF(SUM($F101:BF101)&gt;=BG166*$F$5,0,BG101)</f>
        <v>0</v>
      </c>
      <c r="BH35" s="331">
        <f>+IF(SUM($F101:BG101)&gt;=BH166*$F$5,0,BH101)</f>
        <v>0</v>
      </c>
      <c r="BI35" s="331">
        <f>+IF(SUM($F101:BH101)&gt;=BI166*$F$5,0,BI101)</f>
        <v>0</v>
      </c>
      <c r="BJ35" s="331">
        <f>+IF(SUM($F101:BI101)&gt;=BJ166*$F$5,0,BJ101)</f>
        <v>0</v>
      </c>
      <c r="BK35" s="331">
        <f>+IF(SUM($F101:BJ101)&gt;=BK166*$F$5,0,BK101)</f>
        <v>0</v>
      </c>
      <c r="BL35" s="331">
        <f>+IF(SUM($F101:BK101)&gt;=BL166*$F$5,0,BL101)</f>
        <v>0</v>
      </c>
      <c r="BM35" s="331">
        <f>+IF(SUM($F101:BL101)&gt;=BM166*$F$5,0,BM101)</f>
        <v>0</v>
      </c>
    </row>
    <row r="36" spans="5:65" ht="15.75">
      <c r="E36" s="416">
        <f t="shared" si="12"/>
        <v>44179</v>
      </c>
      <c r="F36" s="331">
        <f t="shared" si="11"/>
        <v>0</v>
      </c>
      <c r="G36" s="331">
        <f>+IF(SUM($F102:F102)&gt;=G167*$F$5,0,G102)</f>
        <v>0</v>
      </c>
      <c r="H36" s="331">
        <f>+IF(SUM($F102:G102)&gt;=H167*$F$5,0,H102)</f>
        <v>0</v>
      </c>
      <c r="I36" s="331">
        <f>+IF(SUM($F102:H102)&gt;=I167*$F$5,0,I102)</f>
        <v>0</v>
      </c>
      <c r="J36" s="331">
        <f>+IF(SUM($F102:I102)&gt;=J167*$F$5,0,J102)</f>
        <v>0</v>
      </c>
      <c r="K36" s="331">
        <f>+IF(SUM($F102:J102)&gt;=K167*$F$5,0,K102)</f>
        <v>0</v>
      </c>
      <c r="L36" s="331">
        <f>+IF(SUM($F102:K102)&gt;=L167*$F$5,0,L102)</f>
        <v>0</v>
      </c>
      <c r="M36" s="331">
        <f>+IF(SUM($F102:L102)&gt;=M167*$F$5,0,M102)</f>
        <v>0</v>
      </c>
      <c r="N36" s="331">
        <f>+IF(SUM($F102:M102)&gt;=N167*$F$5,0,N102)</f>
        <v>0</v>
      </c>
      <c r="O36" s="331">
        <f>+IF(SUM($F102:N102)&gt;=O167*$F$5,0,O102)</f>
        <v>0</v>
      </c>
      <c r="P36" s="331">
        <f>+IF(SUM($F102:O102)&gt;=P167*$F$5,0,P102)</f>
        <v>0</v>
      </c>
      <c r="Q36" s="331">
        <f>+IF(SUM($F102:P102)&gt;=Q167*$F$5,0,Q102)</f>
        <v>0</v>
      </c>
      <c r="R36" s="331">
        <f>+IF(SUM($F102:Q102)&gt;=R167*$F$5,0,R102)</f>
        <v>0</v>
      </c>
      <c r="S36" s="331">
        <f>+IF(SUM($F102:R102)&gt;=S167*$F$5,0,S102)</f>
        <v>0</v>
      </c>
      <c r="T36" s="331">
        <f>+IF(SUM($F102:S102)&gt;=T167*$F$5,0,T102)</f>
        <v>0</v>
      </c>
      <c r="U36" s="331">
        <f>+IF(SUM($F102:T102)&gt;=U167*$F$5,0,U102)</f>
        <v>0</v>
      </c>
      <c r="V36" s="331">
        <f>+IF(SUM($F102:U102)&gt;=V167*$F$5,0,V102)</f>
        <v>0</v>
      </c>
      <c r="W36" s="331">
        <f>+IF(SUM($F102:V102)&gt;=W167*$F$5,0,W102)</f>
        <v>0</v>
      </c>
      <c r="X36" s="331">
        <f>+IF(SUM($F102:W102)&gt;=X167*$F$5,0,X102)</f>
        <v>0</v>
      </c>
      <c r="Y36" s="331">
        <f>+IF(SUM($F102:X102)&gt;=Y167*$F$5,0,Y102)</f>
        <v>0</v>
      </c>
      <c r="Z36" s="331">
        <f>+IF(SUM($F102:Y102)&gt;=Z167*$F$5,0,Z102)</f>
        <v>0</v>
      </c>
      <c r="AA36" s="331">
        <f>+IF(SUM($F102:Z102)&gt;=AA167*$F$5,0,AA102)</f>
        <v>0</v>
      </c>
      <c r="AB36" s="331">
        <f>+IF(SUM($F102:AA102)&gt;=AB167*$F$5,0,AB102)</f>
        <v>0</v>
      </c>
      <c r="AC36" s="331">
        <f>+IF(SUM($F102:AB102)&gt;=AC167*$F$5,0,AC102)</f>
        <v>0</v>
      </c>
      <c r="AD36" s="331">
        <f>+IF(SUM($F102:AC102)&gt;=AD167*$F$5,0,AD102)</f>
        <v>0</v>
      </c>
      <c r="AE36" s="331">
        <f>+IF(SUM($F102:AD102)&gt;=AE167*$F$5,0,AE102)</f>
        <v>0</v>
      </c>
      <c r="AF36" s="331">
        <f>+IF(SUM($F102:AE102)&gt;=AF167*$F$5,0,AF102)</f>
        <v>0</v>
      </c>
      <c r="AG36" s="331">
        <f>+IF(SUM($F102:AF102)&gt;=AG167*$F$5,0,AG102)</f>
        <v>0</v>
      </c>
      <c r="AH36" s="331">
        <f>+IF(SUM($F102:AG102)&gt;=AH167*$F$5,0,AH102)</f>
        <v>0</v>
      </c>
      <c r="AI36" s="331">
        <f>+IF(SUM($F102:AH102)&gt;=AI167*$F$5,0,AI102)</f>
        <v>0</v>
      </c>
      <c r="AJ36" s="331">
        <f>+IF(SUM($F102:AI102)&gt;=AJ167*$F$5,0,AJ102)</f>
        <v>0</v>
      </c>
      <c r="AK36" s="331">
        <f>+IF(SUM($F102:AJ102)&gt;=AK167*$F$5,0,AK102)</f>
        <v>0</v>
      </c>
      <c r="AL36" s="331">
        <f>+IF(SUM($F102:AK102)&gt;=AL167*$F$5,0,AL102)</f>
        <v>0</v>
      </c>
      <c r="AM36" s="331">
        <f>+IF(SUM($F102:AL102)&gt;=AM167*$F$5,0,AM102)</f>
        <v>0</v>
      </c>
      <c r="AN36" s="331">
        <f>+IF(SUM($F102:AM102)&gt;=AN167*$F$5,0,AN102)</f>
        <v>0</v>
      </c>
      <c r="AO36" s="331">
        <f>+IF(SUM($F102:AN102)&gt;=AO167*$F$5,0,AO102)</f>
        <v>0</v>
      </c>
      <c r="AP36" s="331">
        <f>+IF(SUM($F102:AO102)&gt;=AP167*$F$5,0,AP102)</f>
        <v>0</v>
      </c>
      <c r="AQ36" s="331">
        <f>+IF(SUM($F102:AP102)&gt;=AQ167*$F$5,0,AQ102)</f>
        <v>0</v>
      </c>
      <c r="AR36" s="331">
        <f>+IF(SUM($F102:AQ102)&gt;=AR167*$F$5,0,AR102)</f>
        <v>0</v>
      </c>
      <c r="AS36" s="331">
        <f>+IF(SUM($F102:AR102)&gt;=AS167*$F$5,0,AS102)</f>
        <v>0</v>
      </c>
      <c r="AT36" s="331">
        <f>+IF(SUM($F102:AS102)&gt;=AT167*$F$5,0,AT102)</f>
        <v>0</v>
      </c>
      <c r="AU36" s="331">
        <f>+IF(SUM($F102:AT102)&gt;=AU167*$F$5,0,AU102)</f>
        <v>0</v>
      </c>
      <c r="AV36" s="331">
        <f>+IF(SUM($F102:AU102)&gt;=AV167*$F$5,0,AV102)</f>
        <v>0</v>
      </c>
      <c r="AW36" s="331">
        <f>+IF(SUM($F102:AV102)&gt;=AW167*$F$5,0,AW102)</f>
        <v>0</v>
      </c>
      <c r="AX36" s="331">
        <f>+IF(SUM($F102:AW102)&gt;=AX167*$F$5,0,AX102)</f>
        <v>0</v>
      </c>
      <c r="AY36" s="331">
        <f>+IF(SUM($F102:AX102)&gt;=AY167*$F$5,0,AY102)</f>
        <v>0</v>
      </c>
      <c r="AZ36" s="331">
        <f>+IF(SUM($F102:AY102)&gt;=AZ167*$F$5,0,AZ102)</f>
        <v>0</v>
      </c>
      <c r="BA36" s="331">
        <f>+IF(SUM($F102:AZ102)&gt;=BA167*$F$5,0,BA102)</f>
        <v>0</v>
      </c>
      <c r="BB36" s="331">
        <f>+IF(SUM($F102:BA102)&gt;=BB167*$F$5,0,BB102)</f>
        <v>0</v>
      </c>
      <c r="BC36" s="331">
        <f>+IF(SUM($F102:BB102)&gt;=BC167*$F$5,0,BC102)</f>
        <v>0</v>
      </c>
      <c r="BD36" s="331">
        <f>+IF(SUM($F102:BC102)&gt;=BD167*$F$5,0,BD102)</f>
        <v>0</v>
      </c>
      <c r="BE36" s="331">
        <f>+IF(SUM($F102:BD102)&gt;=BE167*$F$5,0,BE102)</f>
        <v>0</v>
      </c>
      <c r="BF36" s="331">
        <f>+IF(SUM($F102:BE102)&gt;=BF167*$F$5,0,BF102)</f>
        <v>0</v>
      </c>
      <c r="BG36" s="331">
        <f>+IF(SUM($F102:BF102)&gt;=BG167*$F$5,0,BG102)</f>
        <v>0</v>
      </c>
      <c r="BH36" s="331">
        <f>+IF(SUM($F102:BG102)&gt;=BH167*$F$5,0,BH102)</f>
        <v>0</v>
      </c>
      <c r="BI36" s="331">
        <f>+IF(SUM($F102:BH102)&gt;=BI167*$F$5,0,BI102)</f>
        <v>0</v>
      </c>
      <c r="BJ36" s="331">
        <f>+IF(SUM($F102:BI102)&gt;=BJ167*$F$5,0,BJ102)</f>
        <v>0</v>
      </c>
      <c r="BK36" s="331">
        <f>+IF(SUM($F102:BJ102)&gt;=BK167*$F$5,0,BK102)</f>
        <v>0</v>
      </c>
      <c r="BL36" s="331">
        <f>+IF(SUM($F102:BK102)&gt;=BL167*$F$5,0,BL102)</f>
        <v>0</v>
      </c>
      <c r="BM36" s="331">
        <f>+IF(SUM($F102:BL102)&gt;=BM167*$F$5,0,BM102)</f>
        <v>0</v>
      </c>
    </row>
    <row r="37" spans="5:65" ht="15.75">
      <c r="E37" s="416">
        <f t="shared" si="12"/>
        <v>44210</v>
      </c>
      <c r="F37" s="331">
        <f t="shared" si="11"/>
        <v>0</v>
      </c>
      <c r="G37" s="331">
        <f>+IF(SUM($F103:F103)&gt;=G168*$F$5,0,G103)</f>
        <v>0</v>
      </c>
      <c r="H37" s="331">
        <f>+IF(SUM($F103:G103)&gt;=H168*$F$5,0,H103)</f>
        <v>0</v>
      </c>
      <c r="I37" s="331">
        <f>+IF(SUM($F103:H103)&gt;=I168*$F$5,0,I103)</f>
        <v>0</v>
      </c>
      <c r="J37" s="331">
        <f>+IF(SUM($F103:I103)&gt;=J168*$F$5,0,J103)</f>
        <v>0</v>
      </c>
      <c r="K37" s="331">
        <f>+IF(SUM($F103:J103)&gt;=K168*$F$5,0,K103)</f>
        <v>0</v>
      </c>
      <c r="L37" s="331">
        <f>+IF(SUM($F103:K103)&gt;=L168*$F$5,0,L103)</f>
        <v>0</v>
      </c>
      <c r="M37" s="331">
        <f>+IF(SUM($F103:L103)&gt;=M168*$F$5,0,M103)</f>
        <v>0</v>
      </c>
      <c r="N37" s="331">
        <f>+IF(SUM($F103:M103)&gt;=N168*$F$5,0,N103)</f>
        <v>0</v>
      </c>
      <c r="O37" s="331">
        <f>+IF(SUM($F103:N103)&gt;=O168*$F$5,0,O103)</f>
        <v>0</v>
      </c>
      <c r="P37" s="331">
        <f>+IF(SUM($F103:O103)&gt;=P168*$F$5,0,P103)</f>
        <v>0</v>
      </c>
      <c r="Q37" s="331">
        <f>+IF(SUM($F103:P103)&gt;=Q168*$F$5,0,Q103)</f>
        <v>0</v>
      </c>
      <c r="R37" s="331">
        <f>+IF(SUM($F103:Q103)&gt;=R168*$F$5,0,R103)</f>
        <v>0</v>
      </c>
      <c r="S37" s="331">
        <f>+IF(SUM($F103:R103)&gt;=S168*$F$5,0,S103)</f>
        <v>0</v>
      </c>
      <c r="T37" s="331">
        <f>+IF(SUM($F103:S103)&gt;=T168*$F$5,0,T103)</f>
        <v>0</v>
      </c>
      <c r="U37" s="331">
        <f>+IF(SUM($F103:T103)&gt;=U168*$F$5,0,U103)</f>
        <v>0</v>
      </c>
      <c r="V37" s="331">
        <f>+IF(SUM($F103:U103)&gt;=V168*$F$5,0,V103)</f>
        <v>0</v>
      </c>
      <c r="W37" s="331">
        <f>+IF(SUM($F103:V103)&gt;=W168*$F$5,0,W103)</f>
        <v>0</v>
      </c>
      <c r="X37" s="331">
        <f>+IF(SUM($F103:W103)&gt;=X168*$F$5,0,X103)</f>
        <v>0</v>
      </c>
      <c r="Y37" s="331">
        <f>+IF(SUM($F103:X103)&gt;=Y168*$F$5,0,Y103)</f>
        <v>0</v>
      </c>
      <c r="Z37" s="331">
        <f>+IF(SUM($F103:Y103)&gt;=Z168*$F$5,0,Z103)</f>
        <v>0</v>
      </c>
      <c r="AA37" s="331">
        <f>+IF(SUM($F103:Z103)&gt;=AA168*$F$5,0,AA103)</f>
        <v>0</v>
      </c>
      <c r="AB37" s="331">
        <f>+IF(SUM($F103:AA103)&gt;=AB168*$F$5,0,AB103)</f>
        <v>0</v>
      </c>
      <c r="AC37" s="331">
        <f>+IF(SUM($F103:AB103)&gt;=AC168*$F$5,0,AC103)</f>
        <v>0</v>
      </c>
      <c r="AD37" s="331">
        <f>+IF(SUM($F103:AC103)&gt;=AD168*$F$5,0,AD103)</f>
        <v>0</v>
      </c>
      <c r="AE37" s="331">
        <f>+IF(SUM($F103:AD103)&gt;=AE168*$F$5,0,AE103)</f>
        <v>0</v>
      </c>
      <c r="AF37" s="331">
        <f>+IF(SUM($F103:AE103)&gt;=AF168*$F$5,0,AF103)</f>
        <v>0</v>
      </c>
      <c r="AG37" s="331">
        <f>+IF(SUM($F103:AF103)&gt;=AG168*$F$5,0,AG103)</f>
        <v>0</v>
      </c>
      <c r="AH37" s="331">
        <f>+IF(SUM($F103:AG103)&gt;=AH168*$F$5,0,AH103)</f>
        <v>0</v>
      </c>
      <c r="AI37" s="331">
        <f>+IF(SUM($F103:AH103)&gt;=AI168*$F$5,0,AI103)</f>
        <v>0</v>
      </c>
      <c r="AJ37" s="331">
        <f>+IF(SUM($F103:AI103)&gt;=AJ168*$F$5,0,AJ103)</f>
        <v>0</v>
      </c>
      <c r="AK37" s="331">
        <f>+IF(SUM($F103:AJ103)&gt;=AK168*$F$5,0,AK103)</f>
        <v>0</v>
      </c>
      <c r="AL37" s="331">
        <f>+IF(SUM($F103:AK103)&gt;=AL168*$F$5,0,AL103)</f>
        <v>0</v>
      </c>
      <c r="AM37" s="331">
        <f>+IF(SUM($F103:AL103)&gt;=AM168*$F$5,0,AM103)</f>
        <v>0</v>
      </c>
      <c r="AN37" s="331">
        <f>+IF(SUM($F103:AM103)&gt;=AN168*$F$5,0,AN103)</f>
        <v>0</v>
      </c>
      <c r="AO37" s="331">
        <f>+IF(SUM($F103:AN103)&gt;=AO168*$F$5,0,AO103)</f>
        <v>0</v>
      </c>
      <c r="AP37" s="331">
        <f>+IF(SUM($F103:AO103)&gt;=AP168*$F$5,0,AP103)</f>
        <v>0</v>
      </c>
      <c r="AQ37" s="331">
        <f>+IF(SUM($F103:AP103)&gt;=AQ168*$F$5,0,AQ103)</f>
        <v>0</v>
      </c>
      <c r="AR37" s="331">
        <f>+IF(SUM($F103:AQ103)&gt;=AR168*$F$5,0,AR103)</f>
        <v>0</v>
      </c>
      <c r="AS37" s="331">
        <f>+IF(SUM($F103:AR103)&gt;=AS168*$F$5,0,AS103)</f>
        <v>0</v>
      </c>
      <c r="AT37" s="331">
        <f>+IF(SUM($F103:AS103)&gt;=AT168*$F$5,0,AT103)</f>
        <v>0</v>
      </c>
      <c r="AU37" s="331">
        <f>+IF(SUM($F103:AT103)&gt;=AU168*$F$5,0,AU103)</f>
        <v>0</v>
      </c>
      <c r="AV37" s="331">
        <f>+IF(SUM($F103:AU103)&gt;=AV168*$F$5,0,AV103)</f>
        <v>0</v>
      </c>
      <c r="AW37" s="331">
        <f>+IF(SUM($F103:AV103)&gt;=AW168*$F$5,0,AW103)</f>
        <v>0</v>
      </c>
      <c r="AX37" s="331">
        <f>+IF(SUM($F103:AW103)&gt;=AX168*$F$5,0,AX103)</f>
        <v>0</v>
      </c>
      <c r="AY37" s="331">
        <f>+IF(SUM($F103:AX103)&gt;=AY168*$F$5,0,AY103)</f>
        <v>0</v>
      </c>
      <c r="AZ37" s="331">
        <f>+IF(SUM($F103:AY103)&gt;=AZ168*$F$5,0,AZ103)</f>
        <v>0</v>
      </c>
      <c r="BA37" s="331">
        <f>+IF(SUM($F103:AZ103)&gt;=BA168*$F$5,0,BA103)</f>
        <v>0</v>
      </c>
      <c r="BB37" s="331">
        <f>+IF(SUM($F103:BA103)&gt;=BB168*$F$5,0,BB103)</f>
        <v>0</v>
      </c>
      <c r="BC37" s="331">
        <f>+IF(SUM($F103:BB103)&gt;=BC168*$F$5,0,BC103)</f>
        <v>0</v>
      </c>
      <c r="BD37" s="331">
        <f>+IF(SUM($F103:BC103)&gt;=BD168*$F$5,0,BD103)</f>
        <v>0</v>
      </c>
      <c r="BE37" s="331">
        <f>+IF(SUM($F103:BD103)&gt;=BE168*$F$5,0,BE103)</f>
        <v>0</v>
      </c>
      <c r="BF37" s="331">
        <f>+IF(SUM($F103:BE103)&gt;=BF168*$F$5,0,BF103)</f>
        <v>0</v>
      </c>
      <c r="BG37" s="331">
        <f>+IF(SUM($F103:BF103)&gt;=BG168*$F$5,0,BG103)</f>
        <v>0</v>
      </c>
      <c r="BH37" s="331">
        <f>+IF(SUM($F103:BG103)&gt;=BH168*$F$5,0,BH103)</f>
        <v>0</v>
      </c>
      <c r="BI37" s="331">
        <f>+IF(SUM($F103:BH103)&gt;=BI168*$F$5,0,BI103)</f>
        <v>0</v>
      </c>
      <c r="BJ37" s="331">
        <f>+IF(SUM($F103:BI103)&gt;=BJ168*$F$5,0,BJ103)</f>
        <v>0</v>
      </c>
      <c r="BK37" s="331">
        <f>+IF(SUM($F103:BJ103)&gt;=BK168*$F$5,0,BK103)</f>
        <v>0</v>
      </c>
      <c r="BL37" s="331">
        <f>+IF(SUM($F103:BK103)&gt;=BL168*$F$5,0,BL103)</f>
        <v>0</v>
      </c>
      <c r="BM37" s="331">
        <f>+IF(SUM($F103:BL103)&gt;=BM168*$F$5,0,BM103)</f>
        <v>0</v>
      </c>
    </row>
    <row r="38" spans="5:65" ht="15.75">
      <c r="E38" s="416">
        <f t="shared" si="12"/>
        <v>44241</v>
      </c>
      <c r="F38" s="331">
        <f t="shared" si="11"/>
        <v>0</v>
      </c>
      <c r="G38" s="331">
        <f>+IF(SUM($F104:F104)&gt;=G169*$F$5,0,G104)</f>
        <v>0</v>
      </c>
      <c r="H38" s="331">
        <f>+IF(SUM($F104:G104)&gt;=H169*$F$5,0,H104)</f>
        <v>0</v>
      </c>
      <c r="I38" s="331">
        <f>+IF(SUM($F104:H104)&gt;=I169*$F$5,0,I104)</f>
        <v>0</v>
      </c>
      <c r="J38" s="331">
        <f>+IF(SUM($F104:I104)&gt;=J169*$F$5,0,J104)</f>
        <v>0</v>
      </c>
      <c r="K38" s="331">
        <f>+IF(SUM($F104:J104)&gt;=K169*$F$5,0,K104)</f>
        <v>0</v>
      </c>
      <c r="L38" s="331">
        <f>+IF(SUM($F104:K104)&gt;=L169*$F$5,0,L104)</f>
        <v>0</v>
      </c>
      <c r="M38" s="331">
        <f>+IF(SUM($F104:L104)&gt;=M169*$F$5,0,M104)</f>
        <v>0</v>
      </c>
      <c r="N38" s="331">
        <f>+IF(SUM($F104:M104)&gt;=N169*$F$5,0,N104)</f>
        <v>0</v>
      </c>
      <c r="O38" s="331">
        <f>+IF(SUM($F104:N104)&gt;=O169*$F$5,0,O104)</f>
        <v>0</v>
      </c>
      <c r="P38" s="331">
        <f>+IF(SUM($F104:O104)&gt;=P169*$F$5,0,P104)</f>
        <v>0</v>
      </c>
      <c r="Q38" s="331">
        <f>+IF(SUM($F104:P104)&gt;=Q169*$F$5,0,Q104)</f>
        <v>0</v>
      </c>
      <c r="R38" s="331">
        <f>+IF(SUM($F104:Q104)&gt;=R169*$F$5,0,R104)</f>
        <v>0</v>
      </c>
      <c r="S38" s="331">
        <f>+IF(SUM($F104:R104)&gt;=S169*$F$5,0,S104)</f>
        <v>0</v>
      </c>
      <c r="T38" s="331">
        <f>+IF(SUM($F104:S104)&gt;=T169*$F$5,0,T104)</f>
        <v>0</v>
      </c>
      <c r="U38" s="331">
        <f>+IF(SUM($F104:T104)&gt;=U169*$F$5,0,U104)</f>
        <v>0</v>
      </c>
      <c r="V38" s="331">
        <f>+IF(SUM($F104:U104)&gt;=V169*$F$5,0,V104)</f>
        <v>0</v>
      </c>
      <c r="W38" s="331">
        <f>+IF(SUM($F104:V104)&gt;=W169*$F$5,0,W104)</f>
        <v>0</v>
      </c>
      <c r="X38" s="331">
        <f>+IF(SUM($F104:W104)&gt;=X169*$F$5,0,X104)</f>
        <v>0</v>
      </c>
      <c r="Y38" s="331">
        <f>+IF(SUM($F104:X104)&gt;=Y169*$F$5,0,Y104)</f>
        <v>0</v>
      </c>
      <c r="Z38" s="331">
        <f>+IF(SUM($F104:Y104)&gt;=Z169*$F$5,0,Z104)</f>
        <v>0</v>
      </c>
      <c r="AA38" s="331">
        <f>+IF(SUM($F104:Z104)&gt;=AA169*$F$5,0,AA104)</f>
        <v>0</v>
      </c>
      <c r="AB38" s="331">
        <f>+IF(SUM($F104:AA104)&gt;=AB169*$F$5,0,AB104)</f>
        <v>0</v>
      </c>
      <c r="AC38" s="331">
        <f>+IF(SUM($F104:AB104)&gt;=AC169*$F$5,0,AC104)</f>
        <v>0</v>
      </c>
      <c r="AD38" s="331">
        <f>+IF(SUM($F104:AC104)&gt;=AD169*$F$5,0,AD104)</f>
        <v>0</v>
      </c>
      <c r="AE38" s="331">
        <f>+IF(SUM($F104:AD104)&gt;=AE169*$F$5,0,AE104)</f>
        <v>0</v>
      </c>
      <c r="AF38" s="331">
        <f>+IF(SUM($F104:AE104)&gt;=AF169*$F$5,0,AF104)</f>
        <v>0</v>
      </c>
      <c r="AG38" s="331">
        <f>+IF(SUM($F104:AF104)&gt;=AG169*$F$5,0,AG104)</f>
        <v>0</v>
      </c>
      <c r="AH38" s="331">
        <f>+IF(SUM($F104:AG104)&gt;=AH169*$F$5,0,AH104)</f>
        <v>0</v>
      </c>
      <c r="AI38" s="331">
        <f>+IF(SUM($F104:AH104)&gt;=AI169*$F$5,0,AI104)</f>
        <v>0</v>
      </c>
      <c r="AJ38" s="331">
        <f>+IF(SUM($F104:AI104)&gt;=AJ169*$F$5,0,AJ104)</f>
        <v>0</v>
      </c>
      <c r="AK38" s="331">
        <f>+IF(SUM($F104:AJ104)&gt;=AK169*$F$5,0,AK104)</f>
        <v>0</v>
      </c>
      <c r="AL38" s="331">
        <f>+IF(SUM($F104:AK104)&gt;=AL169*$F$5,0,AL104)</f>
        <v>0</v>
      </c>
      <c r="AM38" s="331">
        <f>+IF(SUM($F104:AL104)&gt;=AM169*$F$5,0,AM104)</f>
        <v>0</v>
      </c>
      <c r="AN38" s="331">
        <f>+IF(SUM($F104:AM104)&gt;=AN169*$F$5,0,AN104)</f>
        <v>0</v>
      </c>
      <c r="AO38" s="331">
        <f>+IF(SUM($F104:AN104)&gt;=AO169*$F$5,0,AO104)</f>
        <v>0</v>
      </c>
      <c r="AP38" s="331">
        <f>+IF(SUM($F104:AO104)&gt;=AP169*$F$5,0,AP104)</f>
        <v>0</v>
      </c>
      <c r="AQ38" s="331">
        <f>+IF(SUM($F104:AP104)&gt;=AQ169*$F$5,0,AQ104)</f>
        <v>0</v>
      </c>
      <c r="AR38" s="331">
        <f>+IF(SUM($F104:AQ104)&gt;=AR169*$F$5,0,AR104)</f>
        <v>0</v>
      </c>
      <c r="AS38" s="331">
        <f>+IF(SUM($F104:AR104)&gt;=AS169*$F$5,0,AS104)</f>
        <v>0</v>
      </c>
      <c r="AT38" s="331">
        <f>+IF(SUM($F104:AS104)&gt;=AT169*$F$5,0,AT104)</f>
        <v>0</v>
      </c>
      <c r="AU38" s="331">
        <f>+IF(SUM($F104:AT104)&gt;=AU169*$F$5,0,AU104)</f>
        <v>0</v>
      </c>
      <c r="AV38" s="331">
        <f>+IF(SUM($F104:AU104)&gt;=AV169*$F$5,0,AV104)</f>
        <v>0</v>
      </c>
      <c r="AW38" s="331">
        <f>+IF(SUM($F104:AV104)&gt;=AW169*$F$5,0,AW104)</f>
        <v>0</v>
      </c>
      <c r="AX38" s="331">
        <f>+IF(SUM($F104:AW104)&gt;=AX169*$F$5,0,AX104)</f>
        <v>0</v>
      </c>
      <c r="AY38" s="331">
        <f>+IF(SUM($F104:AX104)&gt;=AY169*$F$5,0,AY104)</f>
        <v>0</v>
      </c>
      <c r="AZ38" s="331">
        <f>+IF(SUM($F104:AY104)&gt;=AZ169*$F$5,0,AZ104)</f>
        <v>0</v>
      </c>
      <c r="BA38" s="331">
        <f>+IF(SUM($F104:AZ104)&gt;=BA169*$F$5,0,BA104)</f>
        <v>0</v>
      </c>
      <c r="BB38" s="331">
        <f>+IF(SUM($F104:BA104)&gt;=BB169*$F$5,0,BB104)</f>
        <v>0</v>
      </c>
      <c r="BC38" s="331">
        <f>+IF(SUM($F104:BB104)&gt;=BC169*$F$5,0,BC104)</f>
        <v>0</v>
      </c>
      <c r="BD38" s="331">
        <f>+IF(SUM($F104:BC104)&gt;=BD169*$F$5,0,BD104)</f>
        <v>0</v>
      </c>
      <c r="BE38" s="331">
        <f>+IF(SUM($F104:BD104)&gt;=BE169*$F$5,0,BE104)</f>
        <v>0</v>
      </c>
      <c r="BF38" s="331">
        <f>+IF(SUM($F104:BE104)&gt;=BF169*$F$5,0,BF104)</f>
        <v>0</v>
      </c>
      <c r="BG38" s="331">
        <f>+IF(SUM($F104:BF104)&gt;=BG169*$F$5,0,BG104)</f>
        <v>0</v>
      </c>
      <c r="BH38" s="331">
        <f>+IF(SUM($F104:BG104)&gt;=BH169*$F$5,0,BH104)</f>
        <v>0</v>
      </c>
      <c r="BI38" s="331">
        <f>+IF(SUM($F104:BH104)&gt;=BI169*$F$5,0,BI104)</f>
        <v>0</v>
      </c>
      <c r="BJ38" s="331">
        <f>+IF(SUM($F104:BI104)&gt;=BJ169*$F$5,0,BJ104)</f>
        <v>0</v>
      </c>
      <c r="BK38" s="331">
        <f>+IF(SUM($F104:BJ104)&gt;=BK169*$F$5,0,BK104)</f>
        <v>0</v>
      </c>
      <c r="BL38" s="331">
        <f>+IF(SUM($F104:BK104)&gt;=BL169*$F$5,0,BL104)</f>
        <v>0</v>
      </c>
      <c r="BM38" s="331">
        <f>+IF(SUM($F104:BL104)&gt;=BM169*$F$5,0,BM104)</f>
        <v>0</v>
      </c>
    </row>
    <row r="39" spans="5:65" ht="15.75">
      <c r="E39" s="416">
        <f t="shared" si="12"/>
        <v>44272</v>
      </c>
      <c r="F39" s="331">
        <f t="shared" si="11"/>
        <v>0</v>
      </c>
      <c r="G39" s="331">
        <f>+IF(SUM($F105:F105)&gt;=G170*$F$5,0,G105)</f>
        <v>0</v>
      </c>
      <c r="H39" s="331">
        <f>+IF(SUM($F105:G105)&gt;=H170*$F$5,0,H105)</f>
        <v>0</v>
      </c>
      <c r="I39" s="331">
        <f>+IF(SUM($F105:H105)&gt;=I170*$F$5,0,I105)</f>
        <v>0</v>
      </c>
      <c r="J39" s="331">
        <f>+IF(SUM($F105:I105)&gt;=J170*$F$5,0,J105)</f>
        <v>0</v>
      </c>
      <c r="K39" s="331">
        <f>+IF(SUM($F105:J105)&gt;=K170*$F$5,0,K105)</f>
        <v>0</v>
      </c>
      <c r="L39" s="331">
        <f>+IF(SUM($F105:K105)&gt;=L170*$F$5,0,L105)</f>
        <v>0</v>
      </c>
      <c r="M39" s="331">
        <f>+IF(SUM($F105:L105)&gt;=M170*$F$5,0,M105)</f>
        <v>0</v>
      </c>
      <c r="N39" s="331">
        <f>+IF(SUM($F105:M105)&gt;=N170*$F$5,0,N105)</f>
        <v>0</v>
      </c>
      <c r="O39" s="331">
        <f>+IF(SUM($F105:N105)&gt;=O170*$F$5,0,O105)</f>
        <v>0</v>
      </c>
      <c r="P39" s="331">
        <f>+IF(SUM($F105:O105)&gt;=P170*$F$5,0,P105)</f>
        <v>0</v>
      </c>
      <c r="Q39" s="331">
        <f>+IF(SUM($F105:P105)&gt;=Q170*$F$5,0,Q105)</f>
        <v>0</v>
      </c>
      <c r="R39" s="331">
        <f>+IF(SUM($F105:Q105)&gt;=R170*$F$5,0,R105)</f>
        <v>0</v>
      </c>
      <c r="S39" s="331">
        <f>+IF(SUM($F105:R105)&gt;=S170*$F$5,0,S105)</f>
        <v>0</v>
      </c>
      <c r="T39" s="331">
        <f>+IF(SUM($F105:S105)&gt;=T170*$F$5,0,T105)</f>
        <v>0</v>
      </c>
      <c r="U39" s="331">
        <f>+IF(SUM($F105:T105)&gt;=U170*$F$5,0,U105)</f>
        <v>0</v>
      </c>
      <c r="V39" s="331">
        <f>+IF(SUM($F105:U105)&gt;=V170*$F$5,0,V105)</f>
        <v>0</v>
      </c>
      <c r="W39" s="331">
        <f>+IF(SUM($F105:V105)&gt;=W170*$F$5,0,W105)</f>
        <v>0</v>
      </c>
      <c r="X39" s="331">
        <f>+IF(SUM($F105:W105)&gt;=X170*$F$5,0,X105)</f>
        <v>0</v>
      </c>
      <c r="Y39" s="331">
        <f>+IF(SUM($F105:X105)&gt;=Y170*$F$5,0,Y105)</f>
        <v>0</v>
      </c>
      <c r="Z39" s="331">
        <f>+IF(SUM($F105:Y105)&gt;=Z170*$F$5,0,Z105)</f>
        <v>0</v>
      </c>
      <c r="AA39" s="331">
        <f>+IF(SUM($F105:Z105)&gt;=AA170*$F$5,0,AA105)</f>
        <v>0</v>
      </c>
      <c r="AB39" s="331">
        <f>+IF(SUM($F105:AA105)&gt;=AB170*$F$5,0,AB105)</f>
        <v>0</v>
      </c>
      <c r="AC39" s="331">
        <f>+IF(SUM($F105:AB105)&gt;=AC170*$F$5,0,AC105)</f>
        <v>0</v>
      </c>
      <c r="AD39" s="331">
        <f>+IF(SUM($F105:AC105)&gt;=AD170*$F$5,0,AD105)</f>
        <v>0</v>
      </c>
      <c r="AE39" s="331">
        <f>+IF(SUM($F105:AD105)&gt;=AE170*$F$5,0,AE105)</f>
        <v>0</v>
      </c>
      <c r="AF39" s="331">
        <f>+IF(SUM($F105:AE105)&gt;=AF170*$F$5,0,AF105)</f>
        <v>0</v>
      </c>
      <c r="AG39" s="331">
        <f>+IF(SUM($F105:AF105)&gt;=AG170*$F$5,0,AG105)</f>
        <v>0</v>
      </c>
      <c r="AH39" s="331">
        <f>+IF(SUM($F105:AG105)&gt;=AH170*$F$5,0,AH105)</f>
        <v>0</v>
      </c>
      <c r="AI39" s="331">
        <f>+IF(SUM($F105:AH105)&gt;=AI170*$F$5,0,AI105)</f>
        <v>0</v>
      </c>
      <c r="AJ39" s="331">
        <f>+IF(SUM($F105:AI105)&gt;=AJ170*$F$5,0,AJ105)</f>
        <v>0</v>
      </c>
      <c r="AK39" s="331">
        <f>+IF(SUM($F105:AJ105)&gt;=AK170*$F$5,0,AK105)</f>
        <v>0</v>
      </c>
      <c r="AL39" s="331">
        <f>+IF(SUM($F105:AK105)&gt;=AL170*$F$5,0,AL105)</f>
        <v>0</v>
      </c>
      <c r="AM39" s="331">
        <f>+IF(SUM($F105:AL105)&gt;=AM170*$F$5,0,AM105)</f>
        <v>0</v>
      </c>
      <c r="AN39" s="331">
        <f>+IF(SUM($F105:AM105)&gt;=AN170*$F$5,0,AN105)</f>
        <v>0</v>
      </c>
      <c r="AO39" s="331">
        <f>+IF(SUM($F105:AN105)&gt;=AO170*$F$5,0,AO105)</f>
        <v>0</v>
      </c>
      <c r="AP39" s="331">
        <f>+IF(SUM($F105:AO105)&gt;=AP170*$F$5,0,AP105)</f>
        <v>0</v>
      </c>
      <c r="AQ39" s="331">
        <f>+IF(SUM($F105:AP105)&gt;=AQ170*$F$5,0,AQ105)</f>
        <v>0</v>
      </c>
      <c r="AR39" s="331">
        <f>+IF(SUM($F105:AQ105)&gt;=AR170*$F$5,0,AR105)</f>
        <v>0</v>
      </c>
      <c r="AS39" s="331">
        <f>+IF(SUM($F105:AR105)&gt;=AS170*$F$5,0,AS105)</f>
        <v>0</v>
      </c>
      <c r="AT39" s="331">
        <f>+IF(SUM($F105:AS105)&gt;=AT170*$F$5,0,AT105)</f>
        <v>0</v>
      </c>
      <c r="AU39" s="331">
        <f>+IF(SUM($F105:AT105)&gt;=AU170*$F$5,0,AU105)</f>
        <v>0</v>
      </c>
      <c r="AV39" s="331">
        <f>+IF(SUM($F105:AU105)&gt;=AV170*$F$5,0,AV105)</f>
        <v>0</v>
      </c>
      <c r="AW39" s="331">
        <f>+IF(SUM($F105:AV105)&gt;=AW170*$F$5,0,AW105)</f>
        <v>0</v>
      </c>
      <c r="AX39" s="331">
        <f>+IF(SUM($F105:AW105)&gt;=AX170*$F$5,0,AX105)</f>
        <v>0</v>
      </c>
      <c r="AY39" s="331">
        <f>+IF(SUM($F105:AX105)&gt;=AY170*$F$5,0,AY105)</f>
        <v>0</v>
      </c>
      <c r="AZ39" s="331">
        <f>+IF(SUM($F105:AY105)&gt;=AZ170*$F$5,0,AZ105)</f>
        <v>0</v>
      </c>
      <c r="BA39" s="331">
        <f>+IF(SUM($F105:AZ105)&gt;=BA170*$F$5,0,BA105)</f>
        <v>0</v>
      </c>
      <c r="BB39" s="331">
        <f>+IF(SUM($F105:BA105)&gt;=BB170*$F$5,0,BB105)</f>
        <v>0</v>
      </c>
      <c r="BC39" s="331">
        <f>+IF(SUM($F105:BB105)&gt;=BC170*$F$5,0,BC105)</f>
        <v>0</v>
      </c>
      <c r="BD39" s="331">
        <f>+IF(SUM($F105:BC105)&gt;=BD170*$F$5,0,BD105)</f>
        <v>0</v>
      </c>
      <c r="BE39" s="331">
        <f>+IF(SUM($F105:BD105)&gt;=BE170*$F$5,0,BE105)</f>
        <v>0</v>
      </c>
      <c r="BF39" s="331">
        <f>+IF(SUM($F105:BE105)&gt;=BF170*$F$5,0,BF105)</f>
        <v>0</v>
      </c>
      <c r="BG39" s="331">
        <f>+IF(SUM($F105:BF105)&gt;=BG170*$F$5,0,BG105)</f>
        <v>0</v>
      </c>
      <c r="BH39" s="331">
        <f>+IF(SUM($F105:BG105)&gt;=BH170*$F$5,0,BH105)</f>
        <v>0</v>
      </c>
      <c r="BI39" s="331">
        <f>+IF(SUM($F105:BH105)&gt;=BI170*$F$5,0,BI105)</f>
        <v>0</v>
      </c>
      <c r="BJ39" s="331">
        <f>+IF(SUM($F105:BI105)&gt;=BJ170*$F$5,0,BJ105)</f>
        <v>0</v>
      </c>
      <c r="BK39" s="331">
        <f>+IF(SUM($F105:BJ105)&gt;=BK170*$F$5,0,BK105)</f>
        <v>0</v>
      </c>
      <c r="BL39" s="331">
        <f>+IF(SUM($F105:BK105)&gt;=BL170*$F$5,0,BL105)</f>
        <v>0</v>
      </c>
      <c r="BM39" s="331">
        <f>+IF(SUM($F105:BL105)&gt;=BM170*$F$5,0,BM105)</f>
        <v>0</v>
      </c>
    </row>
    <row r="40" spans="5:65" ht="15.75">
      <c r="E40" s="416">
        <f t="shared" si="12"/>
        <v>44303</v>
      </c>
      <c r="F40" s="331">
        <f t="shared" si="11"/>
        <v>0</v>
      </c>
      <c r="G40" s="331">
        <f>+IF(SUM($F106:F106)&gt;=G171*$F$5,0,G106)</f>
        <v>0</v>
      </c>
      <c r="H40" s="331">
        <f>+IF(SUM($F106:G106)&gt;=H171*$F$5,0,H106)</f>
        <v>0</v>
      </c>
      <c r="I40" s="331">
        <f>+IF(SUM($F106:H106)&gt;=I171*$F$5,0,I106)</f>
        <v>0</v>
      </c>
      <c r="J40" s="331">
        <f>+IF(SUM($F106:I106)&gt;=J171*$F$5,0,J106)</f>
        <v>0</v>
      </c>
      <c r="K40" s="331">
        <f>+IF(SUM($F106:J106)&gt;=K171*$F$5,0,K106)</f>
        <v>0</v>
      </c>
      <c r="L40" s="331">
        <f>+IF(SUM($F106:K106)&gt;=L171*$F$5,0,L106)</f>
        <v>0</v>
      </c>
      <c r="M40" s="331">
        <f>+IF(SUM($F106:L106)&gt;=M171*$F$5,0,M106)</f>
        <v>0</v>
      </c>
      <c r="N40" s="331">
        <f>+IF(SUM($F106:M106)&gt;=N171*$F$5,0,N106)</f>
        <v>0</v>
      </c>
      <c r="O40" s="331">
        <f>+IF(SUM($F106:N106)&gt;=O171*$F$5,0,O106)</f>
        <v>0</v>
      </c>
      <c r="P40" s="331">
        <f>+IF(SUM($F106:O106)&gt;=P171*$F$5,0,P106)</f>
        <v>0</v>
      </c>
      <c r="Q40" s="331">
        <f>+IF(SUM($F106:P106)&gt;=Q171*$F$5,0,Q106)</f>
        <v>0</v>
      </c>
      <c r="R40" s="331">
        <f>+IF(SUM($F106:Q106)&gt;=R171*$F$5,0,R106)</f>
        <v>0</v>
      </c>
      <c r="S40" s="331">
        <f>+IF(SUM($F106:R106)&gt;=S171*$F$5,0,S106)</f>
        <v>0</v>
      </c>
      <c r="T40" s="331">
        <f>+IF(SUM($F106:S106)&gt;=T171*$F$5,0,T106)</f>
        <v>0</v>
      </c>
      <c r="U40" s="331">
        <f>+IF(SUM($F106:T106)&gt;=U171*$F$5,0,U106)</f>
        <v>0</v>
      </c>
      <c r="V40" s="331">
        <f>+IF(SUM($F106:U106)&gt;=V171*$F$5,0,V106)</f>
        <v>0</v>
      </c>
      <c r="W40" s="331">
        <f>+IF(SUM($F106:V106)&gt;=W171*$F$5,0,W106)</f>
        <v>0</v>
      </c>
      <c r="X40" s="331">
        <f>+IF(SUM($F106:W106)&gt;=X171*$F$5,0,X106)</f>
        <v>0</v>
      </c>
      <c r="Y40" s="331">
        <f>+IF(SUM($F106:X106)&gt;=Y171*$F$5,0,Y106)</f>
        <v>0</v>
      </c>
      <c r="Z40" s="331">
        <f>+IF(SUM($F106:Y106)&gt;=Z171*$F$5,0,Z106)</f>
        <v>0</v>
      </c>
      <c r="AA40" s="331">
        <f>+IF(SUM($F106:Z106)&gt;=AA171*$F$5,0,AA106)</f>
        <v>0</v>
      </c>
      <c r="AB40" s="331">
        <f>+IF(SUM($F106:AA106)&gt;=AB171*$F$5,0,AB106)</f>
        <v>0</v>
      </c>
      <c r="AC40" s="331">
        <f>+IF(SUM($F106:AB106)&gt;=AC171*$F$5,0,AC106)</f>
        <v>0</v>
      </c>
      <c r="AD40" s="331">
        <f>+IF(SUM($F106:AC106)&gt;=AD171*$F$5,0,AD106)</f>
        <v>0</v>
      </c>
      <c r="AE40" s="331">
        <f>+IF(SUM($F106:AD106)&gt;=AE171*$F$5,0,AE106)</f>
        <v>0</v>
      </c>
      <c r="AF40" s="331">
        <f>+IF(SUM($F106:AE106)&gt;=AF171*$F$5,0,AF106)</f>
        <v>0</v>
      </c>
      <c r="AG40" s="331">
        <f>+IF(SUM($F106:AF106)&gt;=AG171*$F$5,0,AG106)</f>
        <v>0</v>
      </c>
      <c r="AH40" s="331">
        <f>+IF(SUM($F106:AG106)&gt;=AH171*$F$5,0,AH106)</f>
        <v>0</v>
      </c>
      <c r="AI40" s="331">
        <f>+IF(SUM($F106:AH106)&gt;=AI171*$F$5,0,AI106)</f>
        <v>0</v>
      </c>
      <c r="AJ40" s="331">
        <f>+IF(SUM($F106:AI106)&gt;=AJ171*$F$5,0,AJ106)</f>
        <v>0</v>
      </c>
      <c r="AK40" s="331">
        <f>+IF(SUM($F106:AJ106)&gt;=AK171*$F$5,0,AK106)</f>
        <v>0</v>
      </c>
      <c r="AL40" s="331">
        <f>+IF(SUM($F106:AK106)&gt;=AL171*$F$5,0,AL106)</f>
        <v>0</v>
      </c>
      <c r="AM40" s="331">
        <f>+IF(SUM($F106:AL106)&gt;=AM171*$F$5,0,AM106)</f>
        <v>0</v>
      </c>
      <c r="AN40" s="331">
        <f>+IF(SUM($F106:AM106)&gt;=AN171*$F$5,0,AN106)</f>
        <v>0</v>
      </c>
      <c r="AO40" s="331">
        <f>+IF(SUM($F106:AN106)&gt;=AO171*$F$5,0,AO106)</f>
        <v>0</v>
      </c>
      <c r="AP40" s="331">
        <f>+IF(SUM($F106:AO106)&gt;=AP171*$F$5,0,AP106)</f>
        <v>0</v>
      </c>
      <c r="AQ40" s="331">
        <f>+IF(SUM($F106:AP106)&gt;=AQ171*$F$5,0,AQ106)</f>
        <v>0</v>
      </c>
      <c r="AR40" s="331">
        <f>+IF(SUM($F106:AQ106)&gt;=AR171*$F$5,0,AR106)</f>
        <v>0</v>
      </c>
      <c r="AS40" s="331">
        <f>+IF(SUM($F106:AR106)&gt;=AS171*$F$5,0,AS106)</f>
        <v>0</v>
      </c>
      <c r="AT40" s="331">
        <f>+IF(SUM($F106:AS106)&gt;=AT171*$F$5,0,AT106)</f>
        <v>0</v>
      </c>
      <c r="AU40" s="331">
        <f>+IF(SUM($F106:AT106)&gt;=AU171*$F$5,0,AU106)</f>
        <v>0</v>
      </c>
      <c r="AV40" s="331">
        <f>+IF(SUM($F106:AU106)&gt;=AV171*$F$5,0,AV106)</f>
        <v>0</v>
      </c>
      <c r="AW40" s="331">
        <f>+IF(SUM($F106:AV106)&gt;=AW171*$F$5,0,AW106)</f>
        <v>0</v>
      </c>
      <c r="AX40" s="331">
        <f>+IF(SUM($F106:AW106)&gt;=AX171*$F$5,0,AX106)</f>
        <v>0</v>
      </c>
      <c r="AY40" s="331">
        <f>+IF(SUM($F106:AX106)&gt;=AY171*$F$5,0,AY106)</f>
        <v>0</v>
      </c>
      <c r="AZ40" s="331">
        <f>+IF(SUM($F106:AY106)&gt;=AZ171*$F$5,0,AZ106)</f>
        <v>0</v>
      </c>
      <c r="BA40" s="331">
        <f>+IF(SUM($F106:AZ106)&gt;=BA171*$F$5,0,BA106)</f>
        <v>0</v>
      </c>
      <c r="BB40" s="331">
        <f>+IF(SUM($F106:BA106)&gt;=BB171*$F$5,0,BB106)</f>
        <v>0</v>
      </c>
      <c r="BC40" s="331">
        <f>+IF(SUM($F106:BB106)&gt;=BC171*$F$5,0,BC106)</f>
        <v>0</v>
      </c>
      <c r="BD40" s="331">
        <f>+IF(SUM($F106:BC106)&gt;=BD171*$F$5,0,BD106)</f>
        <v>0</v>
      </c>
      <c r="BE40" s="331">
        <f>+IF(SUM($F106:BD106)&gt;=BE171*$F$5,0,BE106)</f>
        <v>0</v>
      </c>
      <c r="BF40" s="331">
        <f>+IF(SUM($F106:BE106)&gt;=BF171*$F$5,0,BF106)</f>
        <v>0</v>
      </c>
      <c r="BG40" s="331">
        <f>+IF(SUM($F106:BF106)&gt;=BG171*$F$5,0,BG106)</f>
        <v>0</v>
      </c>
      <c r="BH40" s="331">
        <f>+IF(SUM($F106:BG106)&gt;=BH171*$F$5,0,BH106)</f>
        <v>0</v>
      </c>
      <c r="BI40" s="331">
        <f>+IF(SUM($F106:BH106)&gt;=BI171*$F$5,0,BI106)</f>
        <v>0</v>
      </c>
      <c r="BJ40" s="331">
        <f>+IF(SUM($F106:BI106)&gt;=BJ171*$F$5,0,BJ106)</f>
        <v>0</v>
      </c>
      <c r="BK40" s="331">
        <f>+IF(SUM($F106:BJ106)&gt;=BK171*$F$5,0,BK106)</f>
        <v>0</v>
      </c>
      <c r="BL40" s="331">
        <f>+IF(SUM($F106:BK106)&gt;=BL171*$F$5,0,BL106)</f>
        <v>0</v>
      </c>
      <c r="BM40" s="331">
        <f>+IF(SUM($F106:BL106)&gt;=BM171*$F$5,0,BM106)</f>
        <v>0</v>
      </c>
    </row>
    <row r="41" spans="5:65" ht="15.75">
      <c r="E41" s="416">
        <f t="shared" si="12"/>
        <v>44334</v>
      </c>
      <c r="F41" s="331">
        <f t="shared" si="11"/>
        <v>0</v>
      </c>
      <c r="G41" s="331">
        <f>+IF(SUM($F107:F107)&gt;=G172*$F$5,0,G107)</f>
        <v>0</v>
      </c>
      <c r="H41" s="331">
        <f>+IF(SUM($F107:G107)&gt;=H172*$F$5,0,H107)</f>
        <v>0</v>
      </c>
      <c r="I41" s="331">
        <f>+IF(SUM($F107:H107)&gt;=I172*$F$5,0,I107)</f>
        <v>0</v>
      </c>
      <c r="J41" s="331">
        <f>+IF(SUM($F107:I107)&gt;=J172*$F$5,0,J107)</f>
        <v>0</v>
      </c>
      <c r="K41" s="331">
        <f>+IF(SUM($F107:J107)&gt;=K172*$F$5,0,K107)</f>
        <v>0</v>
      </c>
      <c r="L41" s="331">
        <f>+IF(SUM($F107:K107)&gt;=L172*$F$5,0,L107)</f>
        <v>0</v>
      </c>
      <c r="M41" s="331">
        <f>+IF(SUM($F107:L107)&gt;=M172*$F$5,0,M107)</f>
        <v>0</v>
      </c>
      <c r="N41" s="331">
        <f>+IF(SUM($F107:M107)&gt;=N172*$F$5,0,N107)</f>
        <v>0</v>
      </c>
      <c r="O41" s="331">
        <f>+IF(SUM($F107:N107)&gt;=O172*$F$5,0,O107)</f>
        <v>0</v>
      </c>
      <c r="P41" s="331">
        <f>+IF(SUM($F107:O107)&gt;=P172*$F$5,0,P107)</f>
        <v>0</v>
      </c>
      <c r="Q41" s="331">
        <f>+IF(SUM($F107:P107)&gt;=Q172*$F$5,0,Q107)</f>
        <v>0</v>
      </c>
      <c r="R41" s="331">
        <f>+IF(SUM($F107:Q107)&gt;=R172*$F$5,0,R107)</f>
        <v>0</v>
      </c>
      <c r="S41" s="331">
        <f>+IF(SUM($F107:R107)&gt;=S172*$F$5,0,S107)</f>
        <v>0</v>
      </c>
      <c r="T41" s="331">
        <f>+IF(SUM($F107:S107)&gt;=T172*$F$5,0,T107)</f>
        <v>0</v>
      </c>
      <c r="U41" s="331">
        <f>+IF(SUM($F107:T107)&gt;=U172*$F$5,0,U107)</f>
        <v>0</v>
      </c>
      <c r="V41" s="331">
        <f>+IF(SUM($F107:U107)&gt;=V172*$F$5,0,V107)</f>
        <v>0</v>
      </c>
      <c r="W41" s="331">
        <f>+IF(SUM($F107:V107)&gt;=W172*$F$5,0,W107)</f>
        <v>0</v>
      </c>
      <c r="X41" s="331">
        <f>+IF(SUM($F107:W107)&gt;=X172*$F$5,0,X107)</f>
        <v>0</v>
      </c>
      <c r="Y41" s="331">
        <f>+IF(SUM($F107:X107)&gt;=Y172*$F$5,0,Y107)</f>
        <v>0</v>
      </c>
      <c r="Z41" s="331">
        <f>+IF(SUM($F107:Y107)&gt;=Z172*$F$5,0,Z107)</f>
        <v>0</v>
      </c>
      <c r="AA41" s="331">
        <f>+IF(SUM($F107:Z107)&gt;=AA172*$F$5,0,AA107)</f>
        <v>0</v>
      </c>
      <c r="AB41" s="331">
        <f>+IF(SUM($F107:AA107)&gt;=AB172*$F$5,0,AB107)</f>
        <v>0</v>
      </c>
      <c r="AC41" s="331">
        <f>+IF(SUM($F107:AB107)&gt;=AC172*$F$5,0,AC107)</f>
        <v>0</v>
      </c>
      <c r="AD41" s="331">
        <f>+IF(SUM($F107:AC107)&gt;=AD172*$F$5,0,AD107)</f>
        <v>0</v>
      </c>
      <c r="AE41" s="331">
        <f>+IF(SUM($F107:AD107)&gt;=AE172*$F$5,0,AE107)</f>
        <v>0</v>
      </c>
      <c r="AF41" s="331">
        <f>+IF(SUM($F107:AE107)&gt;=AF172*$F$5,0,AF107)</f>
        <v>0</v>
      </c>
      <c r="AG41" s="331">
        <f>+IF(SUM($F107:AF107)&gt;=AG172*$F$5,0,AG107)</f>
        <v>0</v>
      </c>
      <c r="AH41" s="331">
        <f>+IF(SUM($F107:AG107)&gt;=AH172*$F$5,0,AH107)</f>
        <v>0</v>
      </c>
      <c r="AI41" s="331">
        <f>+IF(SUM($F107:AH107)&gt;=AI172*$F$5,0,AI107)</f>
        <v>0</v>
      </c>
      <c r="AJ41" s="331">
        <f>+IF(SUM($F107:AI107)&gt;=AJ172*$F$5,0,AJ107)</f>
        <v>0</v>
      </c>
      <c r="AK41" s="331">
        <f>+IF(SUM($F107:AJ107)&gt;=AK172*$F$5,0,AK107)</f>
        <v>0</v>
      </c>
      <c r="AL41" s="331">
        <f>+IF(SUM($F107:AK107)&gt;=AL172*$F$5,0,AL107)</f>
        <v>0</v>
      </c>
      <c r="AM41" s="331">
        <f>+IF(SUM($F107:AL107)&gt;=AM172*$F$5,0,AM107)</f>
        <v>0</v>
      </c>
      <c r="AN41" s="331">
        <f>+IF(SUM($F107:AM107)&gt;=AN172*$F$5,0,AN107)</f>
        <v>0</v>
      </c>
      <c r="AO41" s="331">
        <f>+IF(SUM($F107:AN107)&gt;=AO172*$F$5,0,AO107)</f>
        <v>0</v>
      </c>
      <c r="AP41" s="331">
        <f>+IF(SUM($F107:AO107)&gt;=AP172*$F$5,0,AP107)</f>
        <v>0</v>
      </c>
      <c r="AQ41" s="331">
        <f>+IF(SUM($F107:AP107)&gt;=AQ172*$F$5,0,AQ107)</f>
        <v>0</v>
      </c>
      <c r="AR41" s="331">
        <f>+IF(SUM($F107:AQ107)&gt;=AR172*$F$5,0,AR107)</f>
        <v>0</v>
      </c>
      <c r="AS41" s="331">
        <f>+IF(SUM($F107:AR107)&gt;=AS172*$F$5,0,AS107)</f>
        <v>0</v>
      </c>
      <c r="AT41" s="331">
        <f>+IF(SUM($F107:AS107)&gt;=AT172*$F$5,0,AT107)</f>
        <v>0</v>
      </c>
      <c r="AU41" s="331">
        <f>+IF(SUM($F107:AT107)&gt;=AU172*$F$5,0,AU107)</f>
        <v>0</v>
      </c>
      <c r="AV41" s="331">
        <f>+IF(SUM($F107:AU107)&gt;=AV172*$F$5,0,AV107)</f>
        <v>0</v>
      </c>
      <c r="AW41" s="331">
        <f>+IF(SUM($F107:AV107)&gt;=AW172*$F$5,0,AW107)</f>
        <v>0</v>
      </c>
      <c r="AX41" s="331">
        <f>+IF(SUM($F107:AW107)&gt;=AX172*$F$5,0,AX107)</f>
        <v>0</v>
      </c>
      <c r="AY41" s="331">
        <f>+IF(SUM($F107:AX107)&gt;=AY172*$F$5,0,AY107)</f>
        <v>0</v>
      </c>
      <c r="AZ41" s="331">
        <f>+IF(SUM($F107:AY107)&gt;=AZ172*$F$5,0,AZ107)</f>
        <v>0</v>
      </c>
      <c r="BA41" s="331">
        <f>+IF(SUM($F107:AZ107)&gt;=BA172*$F$5,0,BA107)</f>
        <v>0</v>
      </c>
      <c r="BB41" s="331">
        <f>+IF(SUM($F107:BA107)&gt;=BB172*$F$5,0,BB107)</f>
        <v>0</v>
      </c>
      <c r="BC41" s="331">
        <f>+IF(SUM($F107:BB107)&gt;=BC172*$F$5,0,BC107)</f>
        <v>0</v>
      </c>
      <c r="BD41" s="331">
        <f>+IF(SUM($F107:BC107)&gt;=BD172*$F$5,0,BD107)</f>
        <v>0</v>
      </c>
      <c r="BE41" s="331">
        <f>+IF(SUM($F107:BD107)&gt;=BE172*$F$5,0,BE107)</f>
        <v>0</v>
      </c>
      <c r="BF41" s="331">
        <f>+IF(SUM($F107:BE107)&gt;=BF172*$F$5,0,BF107)</f>
        <v>0</v>
      </c>
      <c r="BG41" s="331">
        <f>+IF(SUM($F107:BF107)&gt;=BG172*$F$5,0,BG107)</f>
        <v>0</v>
      </c>
      <c r="BH41" s="331">
        <f>+IF(SUM($F107:BG107)&gt;=BH172*$F$5,0,BH107)</f>
        <v>0</v>
      </c>
      <c r="BI41" s="331">
        <f>+IF(SUM($F107:BH107)&gt;=BI172*$F$5,0,BI107)</f>
        <v>0</v>
      </c>
      <c r="BJ41" s="331">
        <f>+IF(SUM($F107:BI107)&gt;=BJ172*$F$5,0,BJ107)</f>
        <v>0</v>
      </c>
      <c r="BK41" s="331">
        <f>+IF(SUM($F107:BJ107)&gt;=BK172*$F$5,0,BK107)</f>
        <v>0</v>
      </c>
      <c r="BL41" s="331">
        <f>+IF(SUM($F107:BK107)&gt;=BL172*$F$5,0,BL107)</f>
        <v>0</v>
      </c>
      <c r="BM41" s="331">
        <f>+IF(SUM($F107:BL107)&gt;=BM172*$F$5,0,BM107)</f>
        <v>0</v>
      </c>
    </row>
    <row r="42" spans="5:65" ht="15.75">
      <c r="E42" s="416">
        <f t="shared" si="12"/>
        <v>44365</v>
      </c>
      <c r="F42" s="331">
        <f t="shared" si="11"/>
        <v>0</v>
      </c>
      <c r="G42" s="331">
        <f>+IF(SUM($F108:F108)&gt;=G173*$F$5,0,G108)</f>
        <v>0</v>
      </c>
      <c r="H42" s="331">
        <f>+IF(SUM($F108:G108)&gt;=H173*$F$5,0,H108)</f>
        <v>0</v>
      </c>
      <c r="I42" s="331">
        <f>+IF(SUM($F108:H108)&gt;=I173*$F$5,0,I108)</f>
        <v>0</v>
      </c>
      <c r="J42" s="331">
        <f>+IF(SUM($F108:I108)&gt;=J173*$F$5,0,J108)</f>
        <v>0</v>
      </c>
      <c r="K42" s="331">
        <f>+IF(SUM($F108:J108)&gt;=K173*$F$5,0,K108)</f>
        <v>0</v>
      </c>
      <c r="L42" s="331">
        <f>+IF(SUM($F108:K108)&gt;=L173*$F$5,0,L108)</f>
        <v>0</v>
      </c>
      <c r="M42" s="331">
        <f>+IF(SUM($F108:L108)&gt;=M173*$F$5,0,M108)</f>
        <v>0</v>
      </c>
      <c r="N42" s="331">
        <f>+IF(SUM($F108:M108)&gt;=N173*$F$5,0,N108)</f>
        <v>0</v>
      </c>
      <c r="O42" s="331">
        <f>+IF(SUM($F108:N108)&gt;=O173*$F$5,0,O108)</f>
        <v>0</v>
      </c>
      <c r="P42" s="331">
        <f>+IF(SUM($F108:O108)&gt;=P173*$F$5,0,P108)</f>
        <v>0</v>
      </c>
      <c r="Q42" s="331">
        <f>+IF(SUM($F108:P108)&gt;=Q173*$F$5,0,Q108)</f>
        <v>0</v>
      </c>
      <c r="R42" s="331">
        <f>+IF(SUM($F108:Q108)&gt;=R173*$F$5,0,R108)</f>
        <v>0</v>
      </c>
      <c r="S42" s="331">
        <f>+IF(SUM($F108:R108)&gt;=S173*$F$5,0,S108)</f>
        <v>0</v>
      </c>
      <c r="T42" s="331">
        <f>+IF(SUM($F108:S108)&gt;=T173*$F$5,0,T108)</f>
        <v>0</v>
      </c>
      <c r="U42" s="331">
        <f>+IF(SUM($F108:T108)&gt;=U173*$F$5,0,U108)</f>
        <v>0</v>
      </c>
      <c r="V42" s="331">
        <f>+IF(SUM($F108:U108)&gt;=V173*$F$5,0,V108)</f>
        <v>0</v>
      </c>
      <c r="W42" s="331">
        <f>+IF(SUM($F108:V108)&gt;=W173*$F$5,0,W108)</f>
        <v>0</v>
      </c>
      <c r="X42" s="331">
        <f>+IF(SUM($F108:W108)&gt;=X173*$F$5,0,X108)</f>
        <v>0</v>
      </c>
      <c r="Y42" s="331">
        <f>+IF(SUM($F108:X108)&gt;=Y173*$F$5,0,Y108)</f>
        <v>0</v>
      </c>
      <c r="Z42" s="331">
        <f>+IF(SUM($F108:Y108)&gt;=Z173*$F$5,0,Z108)</f>
        <v>0</v>
      </c>
      <c r="AA42" s="331">
        <f>+IF(SUM($F108:Z108)&gt;=AA173*$F$5,0,AA108)</f>
        <v>0</v>
      </c>
      <c r="AB42" s="331">
        <f>+IF(SUM($F108:AA108)&gt;=AB173*$F$5,0,AB108)</f>
        <v>0</v>
      </c>
      <c r="AC42" s="331">
        <f>+IF(SUM($F108:AB108)&gt;=AC173*$F$5,0,AC108)</f>
        <v>0</v>
      </c>
      <c r="AD42" s="331">
        <f>+IF(SUM($F108:AC108)&gt;=AD173*$F$5,0,AD108)</f>
        <v>0</v>
      </c>
      <c r="AE42" s="331">
        <f>+IF(SUM($F108:AD108)&gt;=AE173*$F$5,0,AE108)</f>
        <v>0</v>
      </c>
      <c r="AF42" s="331">
        <f>+IF(SUM($F108:AE108)&gt;=AF173*$F$5,0,AF108)</f>
        <v>0</v>
      </c>
      <c r="AG42" s="331">
        <f>+IF(SUM($F108:AF108)&gt;=AG173*$F$5,0,AG108)</f>
        <v>0</v>
      </c>
      <c r="AH42" s="331">
        <f>+IF(SUM($F108:AG108)&gt;=AH173*$F$5,0,AH108)</f>
        <v>0</v>
      </c>
      <c r="AI42" s="331">
        <f>+IF(SUM($F108:AH108)&gt;=AI173*$F$5,0,AI108)</f>
        <v>0</v>
      </c>
      <c r="AJ42" s="331">
        <f>+IF(SUM($F108:AI108)&gt;=AJ173*$F$5,0,AJ108)</f>
        <v>0</v>
      </c>
      <c r="AK42" s="331">
        <f>+IF(SUM($F108:AJ108)&gt;=AK173*$F$5,0,AK108)</f>
        <v>0</v>
      </c>
      <c r="AL42" s="331">
        <f>+IF(SUM($F108:AK108)&gt;=AL173*$F$5,0,AL108)</f>
        <v>0</v>
      </c>
      <c r="AM42" s="331">
        <f>+IF(SUM($F108:AL108)&gt;=AM173*$F$5,0,AM108)</f>
        <v>0</v>
      </c>
      <c r="AN42" s="331">
        <f>+IF(SUM($F108:AM108)&gt;=AN173*$F$5,0,AN108)</f>
        <v>0</v>
      </c>
      <c r="AO42" s="331">
        <f>+IF(SUM($F108:AN108)&gt;=AO173*$F$5,0,AO108)</f>
        <v>0</v>
      </c>
      <c r="AP42" s="331">
        <f>+IF(SUM($F108:AO108)&gt;=AP173*$F$5,0,AP108)</f>
        <v>0</v>
      </c>
      <c r="AQ42" s="331">
        <f>+IF(SUM($F108:AP108)&gt;=AQ173*$F$5,0,AQ108)</f>
        <v>0</v>
      </c>
      <c r="AR42" s="331">
        <f>+IF(SUM($F108:AQ108)&gt;=AR173*$F$5,0,AR108)</f>
        <v>0</v>
      </c>
      <c r="AS42" s="331">
        <f>+IF(SUM($F108:AR108)&gt;=AS173*$F$5,0,AS108)</f>
        <v>0</v>
      </c>
      <c r="AT42" s="331">
        <f>+IF(SUM($F108:AS108)&gt;=AT173*$F$5,0,AT108)</f>
        <v>0</v>
      </c>
      <c r="AU42" s="331">
        <f>+IF(SUM($F108:AT108)&gt;=AU173*$F$5,0,AU108)</f>
        <v>0</v>
      </c>
      <c r="AV42" s="331">
        <f>+IF(SUM($F108:AU108)&gt;=AV173*$F$5,0,AV108)</f>
        <v>0</v>
      </c>
      <c r="AW42" s="331">
        <f>+IF(SUM($F108:AV108)&gt;=AW173*$F$5,0,AW108)</f>
        <v>0</v>
      </c>
      <c r="AX42" s="331">
        <f>+IF(SUM($F108:AW108)&gt;=AX173*$F$5,0,AX108)</f>
        <v>0</v>
      </c>
      <c r="AY42" s="331">
        <f>+IF(SUM($F108:AX108)&gt;=AY173*$F$5,0,AY108)</f>
        <v>0</v>
      </c>
      <c r="AZ42" s="331">
        <f>+IF(SUM($F108:AY108)&gt;=AZ173*$F$5,0,AZ108)</f>
        <v>0</v>
      </c>
      <c r="BA42" s="331">
        <f>+IF(SUM($F108:AZ108)&gt;=BA173*$F$5,0,BA108)</f>
        <v>0</v>
      </c>
      <c r="BB42" s="331">
        <f>+IF(SUM($F108:BA108)&gt;=BB173*$F$5,0,BB108)</f>
        <v>0</v>
      </c>
      <c r="BC42" s="331">
        <f>+IF(SUM($F108:BB108)&gt;=BC173*$F$5,0,BC108)</f>
        <v>0</v>
      </c>
      <c r="BD42" s="331">
        <f>+IF(SUM($F108:BC108)&gt;=BD173*$F$5,0,BD108)</f>
        <v>0</v>
      </c>
      <c r="BE42" s="331">
        <f>+IF(SUM($F108:BD108)&gt;=BE173*$F$5,0,BE108)</f>
        <v>0</v>
      </c>
      <c r="BF42" s="331">
        <f>+IF(SUM($F108:BE108)&gt;=BF173*$F$5,0,BF108)</f>
        <v>0</v>
      </c>
      <c r="BG42" s="331">
        <f>+IF(SUM($F108:BF108)&gt;=BG173*$F$5,0,BG108)</f>
        <v>0</v>
      </c>
      <c r="BH42" s="331">
        <f>+IF(SUM($F108:BG108)&gt;=BH173*$F$5,0,BH108)</f>
        <v>0</v>
      </c>
      <c r="BI42" s="331">
        <f>+IF(SUM($F108:BH108)&gt;=BI173*$F$5,0,BI108)</f>
        <v>0</v>
      </c>
      <c r="BJ42" s="331">
        <f>+IF(SUM($F108:BI108)&gt;=BJ173*$F$5,0,BJ108)</f>
        <v>0</v>
      </c>
      <c r="BK42" s="331">
        <f>+IF(SUM($F108:BJ108)&gt;=BK173*$F$5,0,BK108)</f>
        <v>0</v>
      </c>
      <c r="BL42" s="331">
        <f>+IF(SUM($F108:BK108)&gt;=BL173*$F$5,0,BL108)</f>
        <v>0</v>
      </c>
      <c r="BM42" s="331">
        <f>+IF(SUM($F108:BL108)&gt;=BM173*$F$5,0,BM108)</f>
        <v>0</v>
      </c>
    </row>
    <row r="43" spans="5:65" ht="15.75">
      <c r="E43" s="416">
        <f t="shared" si="12"/>
        <v>44396</v>
      </c>
      <c r="F43" s="331">
        <f t="shared" si="11"/>
        <v>0</v>
      </c>
      <c r="G43" s="331">
        <f>+IF(SUM($F109:F109)&gt;=G174*$F$5,0,G109)</f>
        <v>0</v>
      </c>
      <c r="H43" s="331">
        <f>+IF(SUM($F109:G109)&gt;=H174*$F$5,0,H109)</f>
        <v>0</v>
      </c>
      <c r="I43" s="331">
        <f>+IF(SUM($F109:H109)&gt;=I174*$F$5,0,I109)</f>
        <v>0</v>
      </c>
      <c r="J43" s="331">
        <f>+IF(SUM($F109:I109)&gt;=J174*$F$5,0,J109)</f>
        <v>0</v>
      </c>
      <c r="K43" s="331">
        <f>+IF(SUM($F109:J109)&gt;=K174*$F$5,0,K109)</f>
        <v>0</v>
      </c>
      <c r="L43" s="331">
        <f>+IF(SUM($F109:K109)&gt;=L174*$F$5,0,L109)</f>
        <v>0</v>
      </c>
      <c r="M43" s="331">
        <f>+IF(SUM($F109:L109)&gt;=M174*$F$5,0,M109)</f>
        <v>0</v>
      </c>
      <c r="N43" s="331">
        <f>+IF(SUM($F109:M109)&gt;=N174*$F$5,0,N109)</f>
        <v>0</v>
      </c>
      <c r="O43" s="331">
        <f>+IF(SUM($F109:N109)&gt;=O174*$F$5,0,O109)</f>
        <v>0</v>
      </c>
      <c r="P43" s="331">
        <f>+IF(SUM($F109:O109)&gt;=P174*$F$5,0,P109)</f>
        <v>0</v>
      </c>
      <c r="Q43" s="331">
        <f>+IF(SUM($F109:P109)&gt;=Q174*$F$5,0,Q109)</f>
        <v>0</v>
      </c>
      <c r="R43" s="331">
        <f>+IF(SUM($F109:Q109)&gt;=R174*$F$5,0,R109)</f>
        <v>0</v>
      </c>
      <c r="S43" s="331">
        <f>+IF(SUM($F109:R109)&gt;=S174*$F$5,0,S109)</f>
        <v>0</v>
      </c>
      <c r="T43" s="331">
        <f>+IF(SUM($F109:S109)&gt;=T174*$F$5,0,T109)</f>
        <v>0</v>
      </c>
      <c r="U43" s="331">
        <f>+IF(SUM($F109:T109)&gt;=U174*$F$5,0,U109)</f>
        <v>0</v>
      </c>
      <c r="V43" s="331">
        <f>+IF(SUM($F109:U109)&gt;=V174*$F$5,0,V109)</f>
        <v>0</v>
      </c>
      <c r="W43" s="331">
        <f>+IF(SUM($F109:V109)&gt;=W174*$F$5,0,W109)</f>
        <v>0</v>
      </c>
      <c r="X43" s="331">
        <f>+IF(SUM($F109:W109)&gt;=X174*$F$5,0,X109)</f>
        <v>0</v>
      </c>
      <c r="Y43" s="331">
        <f>+IF(SUM($F109:X109)&gt;=Y174*$F$5,0,Y109)</f>
        <v>0</v>
      </c>
      <c r="Z43" s="331">
        <f>+IF(SUM($F109:Y109)&gt;=Z174*$F$5,0,Z109)</f>
        <v>0</v>
      </c>
      <c r="AA43" s="331">
        <f>+IF(SUM($F109:Z109)&gt;=AA174*$F$5,0,AA109)</f>
        <v>0</v>
      </c>
      <c r="AB43" s="331">
        <f>+IF(SUM($F109:AA109)&gt;=AB174*$F$5,0,AB109)</f>
        <v>0</v>
      </c>
      <c r="AC43" s="331">
        <f>+IF(SUM($F109:AB109)&gt;=AC174*$F$5,0,AC109)</f>
        <v>0</v>
      </c>
      <c r="AD43" s="331">
        <f>+IF(SUM($F109:AC109)&gt;=AD174*$F$5,0,AD109)</f>
        <v>0</v>
      </c>
      <c r="AE43" s="331">
        <f>+IF(SUM($F109:AD109)&gt;=AE174*$F$5,0,AE109)</f>
        <v>0</v>
      </c>
      <c r="AF43" s="331">
        <f>+IF(SUM($F109:AE109)&gt;=AF174*$F$5,0,AF109)</f>
        <v>0</v>
      </c>
      <c r="AG43" s="331">
        <f>+IF(SUM($F109:AF109)&gt;=AG174*$F$5,0,AG109)</f>
        <v>0</v>
      </c>
      <c r="AH43" s="331">
        <f>+IF(SUM($F109:AG109)&gt;=AH174*$F$5,0,AH109)</f>
        <v>0</v>
      </c>
      <c r="AI43" s="331">
        <f>+IF(SUM($F109:AH109)&gt;=AI174*$F$5,0,AI109)</f>
        <v>0</v>
      </c>
      <c r="AJ43" s="331">
        <f>+IF(SUM($F109:AI109)&gt;=AJ174*$F$5,0,AJ109)</f>
        <v>0</v>
      </c>
      <c r="AK43" s="331">
        <f>+IF(SUM($F109:AJ109)&gt;=AK174*$F$5,0,AK109)</f>
        <v>0</v>
      </c>
      <c r="AL43" s="331">
        <f>+IF(SUM($F109:AK109)&gt;=AL174*$F$5,0,AL109)</f>
        <v>0</v>
      </c>
      <c r="AM43" s="331">
        <f>+IF(SUM($F109:AL109)&gt;=AM174*$F$5,0,AM109)</f>
        <v>0</v>
      </c>
      <c r="AN43" s="331">
        <f>+IF(SUM($F109:AM109)&gt;=AN174*$F$5,0,AN109)</f>
        <v>0</v>
      </c>
      <c r="AO43" s="331">
        <f>+IF(SUM($F109:AN109)&gt;=AO174*$F$5,0,AO109)</f>
        <v>0</v>
      </c>
      <c r="AP43" s="331">
        <f>+IF(SUM($F109:AO109)&gt;=AP174*$F$5,0,AP109)</f>
        <v>0</v>
      </c>
      <c r="AQ43" s="331">
        <f>+IF(SUM($F109:AP109)&gt;=AQ174*$F$5,0,AQ109)</f>
        <v>0</v>
      </c>
      <c r="AR43" s="331">
        <f>+IF(SUM($F109:AQ109)&gt;=AR174*$F$5,0,AR109)</f>
        <v>0</v>
      </c>
      <c r="AS43" s="331">
        <f>+IF(SUM($F109:AR109)&gt;=AS174*$F$5,0,AS109)</f>
        <v>0</v>
      </c>
      <c r="AT43" s="331">
        <f>+IF(SUM($F109:AS109)&gt;=AT174*$F$5,0,AT109)</f>
        <v>0</v>
      </c>
      <c r="AU43" s="331">
        <f>+IF(SUM($F109:AT109)&gt;=AU174*$F$5,0,AU109)</f>
        <v>0</v>
      </c>
      <c r="AV43" s="331">
        <f>+IF(SUM($F109:AU109)&gt;=AV174*$F$5,0,AV109)</f>
        <v>0</v>
      </c>
      <c r="AW43" s="331">
        <f>+IF(SUM($F109:AV109)&gt;=AW174*$F$5,0,AW109)</f>
        <v>0</v>
      </c>
      <c r="AX43" s="331">
        <f>+IF(SUM($F109:AW109)&gt;=AX174*$F$5,0,AX109)</f>
        <v>0</v>
      </c>
      <c r="AY43" s="331">
        <f>+IF(SUM($F109:AX109)&gt;=AY174*$F$5,0,AY109)</f>
        <v>0</v>
      </c>
      <c r="AZ43" s="331">
        <f>+IF(SUM($F109:AY109)&gt;=AZ174*$F$5,0,AZ109)</f>
        <v>0</v>
      </c>
      <c r="BA43" s="331">
        <f>+IF(SUM($F109:AZ109)&gt;=BA174*$F$5,0,BA109)</f>
        <v>0</v>
      </c>
      <c r="BB43" s="331">
        <f>+IF(SUM($F109:BA109)&gt;=BB174*$F$5,0,BB109)</f>
        <v>0</v>
      </c>
      <c r="BC43" s="331">
        <f>+IF(SUM($F109:BB109)&gt;=BC174*$F$5,0,BC109)</f>
        <v>0</v>
      </c>
      <c r="BD43" s="331">
        <f>+IF(SUM($F109:BC109)&gt;=BD174*$F$5,0,BD109)</f>
        <v>0</v>
      </c>
      <c r="BE43" s="331">
        <f>+IF(SUM($F109:BD109)&gt;=BE174*$F$5,0,BE109)</f>
        <v>0</v>
      </c>
      <c r="BF43" s="331">
        <f>+IF(SUM($F109:BE109)&gt;=BF174*$F$5,0,BF109)</f>
        <v>0</v>
      </c>
      <c r="BG43" s="331">
        <f>+IF(SUM($F109:BF109)&gt;=BG174*$F$5,0,BG109)</f>
        <v>0</v>
      </c>
      <c r="BH43" s="331">
        <f>+IF(SUM($F109:BG109)&gt;=BH174*$F$5,0,BH109)</f>
        <v>0</v>
      </c>
      <c r="BI43" s="331">
        <f>+IF(SUM($F109:BH109)&gt;=BI174*$F$5,0,BI109)</f>
        <v>0</v>
      </c>
      <c r="BJ43" s="331">
        <f>+IF(SUM($F109:BI109)&gt;=BJ174*$F$5,0,BJ109)</f>
        <v>0</v>
      </c>
      <c r="BK43" s="331">
        <f>+IF(SUM($F109:BJ109)&gt;=BK174*$F$5,0,BK109)</f>
        <v>0</v>
      </c>
      <c r="BL43" s="331">
        <f>+IF(SUM($F109:BK109)&gt;=BL174*$F$5,0,BL109)</f>
        <v>0</v>
      </c>
      <c r="BM43" s="331">
        <f>+IF(SUM($F109:BL109)&gt;=BM174*$F$5,0,BM109)</f>
        <v>0</v>
      </c>
    </row>
    <row r="44" spans="5:65" ht="15.75">
      <c r="E44" s="416">
        <f t="shared" si="12"/>
        <v>44427</v>
      </c>
      <c r="F44" s="331">
        <f t="shared" si="11"/>
        <v>0</v>
      </c>
      <c r="G44" s="331">
        <f>+IF(SUM($F110:F110)&gt;=G175*$F$5,0,G110)</f>
        <v>0</v>
      </c>
      <c r="H44" s="331">
        <f>+IF(SUM($F110:G110)&gt;=H175*$F$5,0,H110)</f>
        <v>0</v>
      </c>
      <c r="I44" s="331">
        <f>+IF(SUM($F110:H110)&gt;=I175*$F$5,0,I110)</f>
        <v>0</v>
      </c>
      <c r="J44" s="331">
        <f>+IF(SUM($F110:I110)&gt;=J175*$F$5,0,J110)</f>
        <v>0</v>
      </c>
      <c r="K44" s="331">
        <f>+IF(SUM($F110:J110)&gt;=K175*$F$5,0,K110)</f>
        <v>0</v>
      </c>
      <c r="L44" s="331">
        <f>+IF(SUM($F110:K110)&gt;=L175*$F$5,0,L110)</f>
        <v>0</v>
      </c>
      <c r="M44" s="331">
        <f>+IF(SUM($F110:L110)&gt;=M175*$F$5,0,M110)</f>
        <v>0</v>
      </c>
      <c r="N44" s="331">
        <f>+IF(SUM($F110:M110)&gt;=N175*$F$5,0,N110)</f>
        <v>0</v>
      </c>
      <c r="O44" s="331">
        <f>+IF(SUM($F110:N110)&gt;=O175*$F$5,0,O110)</f>
        <v>0</v>
      </c>
      <c r="P44" s="331">
        <f>+IF(SUM($F110:O110)&gt;=P175*$F$5,0,P110)</f>
        <v>0</v>
      </c>
      <c r="Q44" s="331">
        <f>+IF(SUM($F110:P110)&gt;=Q175*$F$5,0,Q110)</f>
        <v>0</v>
      </c>
      <c r="R44" s="331">
        <f>+IF(SUM($F110:Q110)&gt;=R175*$F$5,0,R110)</f>
        <v>0</v>
      </c>
      <c r="S44" s="331">
        <f>+IF(SUM($F110:R110)&gt;=S175*$F$5,0,S110)</f>
        <v>0</v>
      </c>
      <c r="T44" s="331">
        <f>+IF(SUM($F110:S110)&gt;=T175*$F$5,0,T110)</f>
        <v>0</v>
      </c>
      <c r="U44" s="331">
        <f>+IF(SUM($F110:T110)&gt;=U175*$F$5,0,U110)</f>
        <v>0</v>
      </c>
      <c r="V44" s="331">
        <f>+IF(SUM($F110:U110)&gt;=V175*$F$5,0,V110)</f>
        <v>0</v>
      </c>
      <c r="W44" s="331">
        <f>+IF(SUM($F110:V110)&gt;=W175*$F$5,0,W110)</f>
        <v>0</v>
      </c>
      <c r="X44" s="331">
        <f>+IF(SUM($F110:W110)&gt;=X175*$F$5,0,X110)</f>
        <v>0</v>
      </c>
      <c r="Y44" s="331">
        <f>+IF(SUM($F110:X110)&gt;=Y175*$F$5,0,Y110)</f>
        <v>0</v>
      </c>
      <c r="Z44" s="331">
        <f>+IF(SUM($F110:Y110)&gt;=Z175*$F$5,0,Z110)</f>
        <v>0</v>
      </c>
      <c r="AA44" s="331">
        <f>+IF(SUM($F110:Z110)&gt;=AA175*$F$5,0,AA110)</f>
        <v>0</v>
      </c>
      <c r="AB44" s="331">
        <f>+IF(SUM($F110:AA110)&gt;=AB175*$F$5,0,AB110)</f>
        <v>0</v>
      </c>
      <c r="AC44" s="331">
        <f>+IF(SUM($F110:AB110)&gt;=AC175*$F$5,0,AC110)</f>
        <v>0</v>
      </c>
      <c r="AD44" s="331">
        <f>+IF(SUM($F110:AC110)&gt;=AD175*$F$5,0,AD110)</f>
        <v>0</v>
      </c>
      <c r="AE44" s="331">
        <f>+IF(SUM($F110:AD110)&gt;=AE175*$F$5,0,AE110)</f>
        <v>0</v>
      </c>
      <c r="AF44" s="331">
        <f>+IF(SUM($F110:AE110)&gt;=AF175*$F$5,0,AF110)</f>
        <v>0</v>
      </c>
      <c r="AG44" s="331">
        <f>+IF(SUM($F110:AF110)&gt;=AG175*$F$5,0,AG110)</f>
        <v>0</v>
      </c>
      <c r="AH44" s="331">
        <f>+IF(SUM($F110:AG110)&gt;=AH175*$F$5,0,AH110)</f>
        <v>0</v>
      </c>
      <c r="AI44" s="331">
        <f>+IF(SUM($F110:AH110)&gt;=AI175*$F$5,0,AI110)</f>
        <v>0</v>
      </c>
      <c r="AJ44" s="331">
        <f>+IF(SUM($F110:AI110)&gt;=AJ175*$F$5,0,AJ110)</f>
        <v>0</v>
      </c>
      <c r="AK44" s="331">
        <f>+IF(SUM($F110:AJ110)&gt;=AK175*$F$5,0,AK110)</f>
        <v>0</v>
      </c>
      <c r="AL44" s="331">
        <f>+IF(SUM($F110:AK110)&gt;=AL175*$F$5,0,AL110)</f>
        <v>0</v>
      </c>
      <c r="AM44" s="331">
        <f>+IF(SUM($F110:AL110)&gt;=AM175*$F$5,0,AM110)</f>
        <v>0</v>
      </c>
      <c r="AN44" s="331">
        <f>+IF(SUM($F110:AM110)&gt;=AN175*$F$5,0,AN110)</f>
        <v>0</v>
      </c>
      <c r="AO44" s="331">
        <f>+IF(SUM($F110:AN110)&gt;=AO175*$F$5,0,AO110)</f>
        <v>0</v>
      </c>
      <c r="AP44" s="331">
        <f>+IF(SUM($F110:AO110)&gt;=AP175*$F$5,0,AP110)</f>
        <v>0</v>
      </c>
      <c r="AQ44" s="331">
        <f>+IF(SUM($F110:AP110)&gt;=AQ175*$F$5,0,AQ110)</f>
        <v>0</v>
      </c>
      <c r="AR44" s="331">
        <f>+IF(SUM($F110:AQ110)&gt;=AR175*$F$5,0,AR110)</f>
        <v>0</v>
      </c>
      <c r="AS44" s="331">
        <f>+IF(SUM($F110:AR110)&gt;=AS175*$F$5,0,AS110)</f>
        <v>0</v>
      </c>
      <c r="AT44" s="331">
        <f>+IF(SUM($F110:AS110)&gt;=AT175*$F$5,0,AT110)</f>
        <v>0</v>
      </c>
      <c r="AU44" s="331">
        <f>+IF(SUM($F110:AT110)&gt;=AU175*$F$5,0,AU110)</f>
        <v>0</v>
      </c>
      <c r="AV44" s="331">
        <f>+IF(SUM($F110:AU110)&gt;=AV175*$F$5,0,AV110)</f>
        <v>0</v>
      </c>
      <c r="AW44" s="331">
        <f>+IF(SUM($F110:AV110)&gt;=AW175*$F$5,0,AW110)</f>
        <v>0</v>
      </c>
      <c r="AX44" s="331">
        <f>+IF(SUM($F110:AW110)&gt;=AX175*$F$5,0,AX110)</f>
        <v>0</v>
      </c>
      <c r="AY44" s="331">
        <f>+IF(SUM($F110:AX110)&gt;=AY175*$F$5,0,AY110)</f>
        <v>0</v>
      </c>
      <c r="AZ44" s="331">
        <f>+IF(SUM($F110:AY110)&gt;=AZ175*$F$5,0,AZ110)</f>
        <v>0</v>
      </c>
      <c r="BA44" s="331">
        <f>+IF(SUM($F110:AZ110)&gt;=BA175*$F$5,0,BA110)</f>
        <v>0</v>
      </c>
      <c r="BB44" s="331">
        <f>+IF(SUM($F110:BA110)&gt;=BB175*$F$5,0,BB110)</f>
        <v>0</v>
      </c>
      <c r="BC44" s="331">
        <f>+IF(SUM($F110:BB110)&gt;=BC175*$F$5,0,BC110)</f>
        <v>0</v>
      </c>
      <c r="BD44" s="331">
        <f>+IF(SUM($F110:BC110)&gt;=BD175*$F$5,0,BD110)</f>
        <v>0</v>
      </c>
      <c r="BE44" s="331">
        <f>+IF(SUM($F110:BD110)&gt;=BE175*$F$5,0,BE110)</f>
        <v>0</v>
      </c>
      <c r="BF44" s="331">
        <f>+IF(SUM($F110:BE110)&gt;=BF175*$F$5,0,BF110)</f>
        <v>0</v>
      </c>
      <c r="BG44" s="331">
        <f>+IF(SUM($F110:BF110)&gt;=BG175*$F$5,0,BG110)</f>
        <v>0</v>
      </c>
      <c r="BH44" s="331">
        <f>+IF(SUM($F110:BG110)&gt;=BH175*$F$5,0,BH110)</f>
        <v>0</v>
      </c>
      <c r="BI44" s="331">
        <f>+IF(SUM($F110:BH110)&gt;=BI175*$F$5,0,BI110)</f>
        <v>0</v>
      </c>
      <c r="BJ44" s="331">
        <f>+IF(SUM($F110:BI110)&gt;=BJ175*$F$5,0,BJ110)</f>
        <v>0</v>
      </c>
      <c r="BK44" s="331">
        <f>+IF(SUM($F110:BJ110)&gt;=BK175*$F$5,0,BK110)</f>
        <v>0</v>
      </c>
      <c r="BL44" s="331">
        <f>+IF(SUM($F110:BK110)&gt;=BL175*$F$5,0,BL110)</f>
        <v>0</v>
      </c>
      <c r="BM44" s="331">
        <f>+IF(SUM($F110:BL110)&gt;=BM175*$F$5,0,BM110)</f>
        <v>0</v>
      </c>
    </row>
    <row r="45" spans="5:65" ht="15.75">
      <c r="E45" s="416">
        <f t="shared" si="12"/>
        <v>44458</v>
      </c>
      <c r="F45" s="331">
        <f t="shared" si="11"/>
        <v>0</v>
      </c>
      <c r="G45" s="331">
        <f>+IF(SUM($F111:F111)&gt;=G176*$F$5,0,G111)</f>
        <v>0</v>
      </c>
      <c r="H45" s="331">
        <f>+IF(SUM($F111:G111)&gt;=H176*$F$5,0,H111)</f>
        <v>0</v>
      </c>
      <c r="I45" s="331">
        <f>+IF(SUM($F111:H111)&gt;=I176*$F$5,0,I111)</f>
        <v>0</v>
      </c>
      <c r="J45" s="331">
        <f>+IF(SUM($F111:I111)&gt;=J176*$F$5,0,J111)</f>
        <v>0</v>
      </c>
      <c r="K45" s="331">
        <f>+IF(SUM($F111:J111)&gt;=K176*$F$5,0,K111)</f>
        <v>0</v>
      </c>
      <c r="L45" s="331">
        <f>+IF(SUM($F111:K111)&gt;=L176*$F$5,0,L111)</f>
        <v>0</v>
      </c>
      <c r="M45" s="331">
        <f>+IF(SUM($F111:L111)&gt;=M176*$F$5,0,M111)</f>
        <v>0</v>
      </c>
      <c r="N45" s="331">
        <f>+IF(SUM($F111:M111)&gt;=N176*$F$5,0,N111)</f>
        <v>0</v>
      </c>
      <c r="O45" s="331">
        <f>+IF(SUM($F111:N111)&gt;=O176*$F$5,0,O111)</f>
        <v>0</v>
      </c>
      <c r="P45" s="331">
        <f>+IF(SUM($F111:O111)&gt;=P176*$F$5,0,P111)</f>
        <v>0</v>
      </c>
      <c r="Q45" s="331">
        <f>+IF(SUM($F111:P111)&gt;=Q176*$F$5,0,Q111)</f>
        <v>0</v>
      </c>
      <c r="R45" s="331">
        <f>+IF(SUM($F111:Q111)&gt;=R176*$F$5,0,R111)</f>
        <v>0</v>
      </c>
      <c r="S45" s="331">
        <f>+IF(SUM($F111:R111)&gt;=S176*$F$5,0,S111)</f>
        <v>0</v>
      </c>
      <c r="T45" s="331">
        <f>+IF(SUM($F111:S111)&gt;=T176*$F$5,0,T111)</f>
        <v>0</v>
      </c>
      <c r="U45" s="331">
        <f>+IF(SUM($F111:T111)&gt;=U176*$F$5,0,U111)</f>
        <v>0</v>
      </c>
      <c r="V45" s="331">
        <f>+IF(SUM($F111:U111)&gt;=V176*$F$5,0,V111)</f>
        <v>0</v>
      </c>
      <c r="W45" s="331">
        <f>+IF(SUM($F111:V111)&gt;=W176*$F$5,0,W111)</f>
        <v>0</v>
      </c>
      <c r="X45" s="331">
        <f>+IF(SUM($F111:W111)&gt;=X176*$F$5,0,X111)</f>
        <v>0</v>
      </c>
      <c r="Y45" s="331">
        <f>+IF(SUM($F111:X111)&gt;=Y176*$F$5,0,Y111)</f>
        <v>0</v>
      </c>
      <c r="Z45" s="331">
        <f>+IF(SUM($F111:Y111)&gt;=Z176*$F$5,0,Z111)</f>
        <v>0</v>
      </c>
      <c r="AA45" s="331">
        <f>+IF(SUM($F111:Z111)&gt;=AA176*$F$5,0,AA111)</f>
        <v>0</v>
      </c>
      <c r="AB45" s="331">
        <f>+IF(SUM($F111:AA111)&gt;=AB176*$F$5,0,AB111)</f>
        <v>0</v>
      </c>
      <c r="AC45" s="331">
        <f>+IF(SUM($F111:AB111)&gt;=AC176*$F$5,0,AC111)</f>
        <v>0</v>
      </c>
      <c r="AD45" s="331">
        <f>+IF(SUM($F111:AC111)&gt;=AD176*$F$5,0,AD111)</f>
        <v>0</v>
      </c>
      <c r="AE45" s="331">
        <f>+IF(SUM($F111:AD111)&gt;=AE176*$F$5,0,AE111)</f>
        <v>0</v>
      </c>
      <c r="AF45" s="331">
        <f>+IF(SUM($F111:AE111)&gt;=AF176*$F$5,0,AF111)</f>
        <v>0</v>
      </c>
      <c r="AG45" s="331">
        <f>+IF(SUM($F111:AF111)&gt;=AG176*$F$5,0,AG111)</f>
        <v>0</v>
      </c>
      <c r="AH45" s="331">
        <f>+IF(SUM($F111:AG111)&gt;=AH176*$F$5,0,AH111)</f>
        <v>0</v>
      </c>
      <c r="AI45" s="331">
        <f>+IF(SUM($F111:AH111)&gt;=AI176*$F$5,0,AI111)</f>
        <v>0</v>
      </c>
      <c r="AJ45" s="331">
        <f>+IF(SUM($F111:AI111)&gt;=AJ176*$F$5,0,AJ111)</f>
        <v>0</v>
      </c>
      <c r="AK45" s="331">
        <f>+IF(SUM($F111:AJ111)&gt;=AK176*$F$5,0,AK111)</f>
        <v>0</v>
      </c>
      <c r="AL45" s="331">
        <f>+IF(SUM($F111:AK111)&gt;=AL176*$F$5,0,AL111)</f>
        <v>0</v>
      </c>
      <c r="AM45" s="331">
        <f>+IF(SUM($F111:AL111)&gt;=AM176*$F$5,0,AM111)</f>
        <v>0</v>
      </c>
      <c r="AN45" s="331">
        <f>+IF(SUM($F111:AM111)&gt;=AN176*$F$5,0,AN111)</f>
        <v>0</v>
      </c>
      <c r="AO45" s="331">
        <f>+IF(SUM($F111:AN111)&gt;=AO176*$F$5,0,AO111)</f>
        <v>0</v>
      </c>
      <c r="AP45" s="331">
        <f>+IF(SUM($F111:AO111)&gt;=AP176*$F$5,0,AP111)</f>
        <v>0</v>
      </c>
      <c r="AQ45" s="331">
        <f>+IF(SUM($F111:AP111)&gt;=AQ176*$F$5,0,AQ111)</f>
        <v>0</v>
      </c>
      <c r="AR45" s="331">
        <f>+IF(SUM($F111:AQ111)&gt;=AR176*$F$5,0,AR111)</f>
        <v>0</v>
      </c>
      <c r="AS45" s="331">
        <f>+IF(SUM($F111:AR111)&gt;=AS176*$F$5,0,AS111)</f>
        <v>0</v>
      </c>
      <c r="AT45" s="331">
        <f>+IF(SUM($F111:AS111)&gt;=AT176*$F$5,0,AT111)</f>
        <v>0</v>
      </c>
      <c r="AU45" s="331">
        <f>+IF(SUM($F111:AT111)&gt;=AU176*$F$5,0,AU111)</f>
        <v>0</v>
      </c>
      <c r="AV45" s="331">
        <f>+IF(SUM($F111:AU111)&gt;=AV176*$F$5,0,AV111)</f>
        <v>0</v>
      </c>
      <c r="AW45" s="331">
        <f>+IF(SUM($F111:AV111)&gt;=AW176*$F$5,0,AW111)</f>
        <v>0</v>
      </c>
      <c r="AX45" s="331">
        <f>+IF(SUM($F111:AW111)&gt;=AX176*$F$5,0,AX111)</f>
        <v>0</v>
      </c>
      <c r="AY45" s="331">
        <f>+IF(SUM($F111:AX111)&gt;=AY176*$F$5,0,AY111)</f>
        <v>0</v>
      </c>
      <c r="AZ45" s="331">
        <f>+IF(SUM($F111:AY111)&gt;=AZ176*$F$5,0,AZ111)</f>
        <v>0</v>
      </c>
      <c r="BA45" s="331">
        <f>+IF(SUM($F111:AZ111)&gt;=BA176*$F$5,0,BA111)</f>
        <v>0</v>
      </c>
      <c r="BB45" s="331">
        <f>+IF(SUM($F111:BA111)&gt;=BB176*$F$5,0,BB111)</f>
        <v>0</v>
      </c>
      <c r="BC45" s="331">
        <f>+IF(SUM($F111:BB111)&gt;=BC176*$F$5,0,BC111)</f>
        <v>0</v>
      </c>
      <c r="BD45" s="331">
        <f>+IF(SUM($F111:BC111)&gt;=BD176*$F$5,0,BD111)</f>
        <v>0</v>
      </c>
      <c r="BE45" s="331">
        <f>+IF(SUM($F111:BD111)&gt;=BE176*$F$5,0,BE111)</f>
        <v>0</v>
      </c>
      <c r="BF45" s="331">
        <f>+IF(SUM($F111:BE111)&gt;=BF176*$F$5,0,BF111)</f>
        <v>0</v>
      </c>
      <c r="BG45" s="331">
        <f>+IF(SUM($F111:BF111)&gt;=BG176*$F$5,0,BG111)</f>
        <v>0</v>
      </c>
      <c r="BH45" s="331">
        <f>+IF(SUM($F111:BG111)&gt;=BH176*$F$5,0,BH111)</f>
        <v>0</v>
      </c>
      <c r="BI45" s="331">
        <f>+IF(SUM($F111:BH111)&gt;=BI176*$F$5,0,BI111)</f>
        <v>0</v>
      </c>
      <c r="BJ45" s="331">
        <f>+IF(SUM($F111:BI111)&gt;=BJ176*$F$5,0,BJ111)</f>
        <v>0</v>
      </c>
      <c r="BK45" s="331">
        <f>+IF(SUM($F111:BJ111)&gt;=BK176*$F$5,0,BK111)</f>
        <v>0</v>
      </c>
      <c r="BL45" s="331">
        <f>+IF(SUM($F111:BK111)&gt;=BL176*$F$5,0,BL111)</f>
        <v>0</v>
      </c>
      <c r="BM45" s="331">
        <f>+IF(SUM($F111:BL111)&gt;=BM176*$F$5,0,BM111)</f>
        <v>0</v>
      </c>
    </row>
    <row r="46" spans="5:65" ht="15.75">
      <c r="E46" s="416">
        <f t="shared" si="12"/>
        <v>44489</v>
      </c>
      <c r="F46" s="331">
        <f t="shared" si="11"/>
        <v>0</v>
      </c>
      <c r="G46" s="331">
        <f>+IF(SUM($F112:F112)&gt;=G177*$F$5,0,G112)</f>
        <v>0</v>
      </c>
      <c r="H46" s="331">
        <f>+IF(SUM($F112:G112)&gt;=H177*$F$5,0,H112)</f>
        <v>0</v>
      </c>
      <c r="I46" s="331">
        <f>+IF(SUM($F112:H112)&gt;=I177*$F$5,0,I112)</f>
        <v>0</v>
      </c>
      <c r="J46" s="331">
        <f>+IF(SUM($F112:I112)&gt;=J177*$F$5,0,J112)</f>
        <v>0</v>
      </c>
      <c r="K46" s="331">
        <f>+IF(SUM($F112:J112)&gt;=K177*$F$5,0,K112)</f>
        <v>0</v>
      </c>
      <c r="L46" s="331">
        <f>+IF(SUM($F112:K112)&gt;=L177*$F$5,0,L112)</f>
        <v>0</v>
      </c>
      <c r="M46" s="331">
        <f>+IF(SUM($F112:L112)&gt;=M177*$F$5,0,M112)</f>
        <v>0</v>
      </c>
      <c r="N46" s="331">
        <f>+IF(SUM($F112:M112)&gt;=N177*$F$5,0,N112)</f>
        <v>0</v>
      </c>
      <c r="O46" s="331">
        <f>+IF(SUM($F112:N112)&gt;=O177*$F$5,0,O112)</f>
        <v>0</v>
      </c>
      <c r="P46" s="331">
        <f>+IF(SUM($F112:O112)&gt;=P177*$F$5,0,P112)</f>
        <v>0</v>
      </c>
      <c r="Q46" s="331">
        <f>+IF(SUM($F112:P112)&gt;=Q177*$F$5,0,Q112)</f>
        <v>0</v>
      </c>
      <c r="R46" s="331">
        <f>+IF(SUM($F112:Q112)&gt;=R177*$F$5,0,R112)</f>
        <v>0</v>
      </c>
      <c r="S46" s="331">
        <f>+IF(SUM($F112:R112)&gt;=S177*$F$5,0,S112)</f>
        <v>0</v>
      </c>
      <c r="T46" s="331">
        <f>+IF(SUM($F112:S112)&gt;=T177*$F$5,0,T112)</f>
        <v>0</v>
      </c>
      <c r="U46" s="331">
        <f>+IF(SUM($F112:T112)&gt;=U177*$F$5,0,U112)</f>
        <v>0</v>
      </c>
      <c r="V46" s="331">
        <f>+IF(SUM($F112:U112)&gt;=V177*$F$5,0,V112)</f>
        <v>0</v>
      </c>
      <c r="W46" s="331">
        <f>+IF(SUM($F112:V112)&gt;=W177*$F$5,0,W112)</f>
        <v>0</v>
      </c>
      <c r="X46" s="331">
        <f>+IF(SUM($F112:W112)&gt;=X177*$F$5,0,X112)</f>
        <v>0</v>
      </c>
      <c r="Y46" s="331">
        <f>+IF(SUM($F112:X112)&gt;=Y177*$F$5,0,Y112)</f>
        <v>0</v>
      </c>
      <c r="Z46" s="331">
        <f>+IF(SUM($F112:Y112)&gt;=Z177*$F$5,0,Z112)</f>
        <v>0</v>
      </c>
      <c r="AA46" s="331">
        <f>+IF(SUM($F112:Z112)&gt;=AA177*$F$5,0,AA112)</f>
        <v>0</v>
      </c>
      <c r="AB46" s="331">
        <f>+IF(SUM($F112:AA112)&gt;=AB177*$F$5,0,AB112)</f>
        <v>0</v>
      </c>
      <c r="AC46" s="331">
        <f>+IF(SUM($F112:AB112)&gt;=AC177*$F$5,0,AC112)</f>
        <v>0</v>
      </c>
      <c r="AD46" s="331">
        <f>+IF(SUM($F112:AC112)&gt;=AD177*$F$5,0,AD112)</f>
        <v>0</v>
      </c>
      <c r="AE46" s="331">
        <f>+IF(SUM($F112:AD112)&gt;=AE177*$F$5,0,AE112)</f>
        <v>0</v>
      </c>
      <c r="AF46" s="331">
        <f>+IF(SUM($F112:AE112)&gt;=AF177*$F$5,0,AF112)</f>
        <v>0</v>
      </c>
      <c r="AG46" s="331">
        <f>+IF(SUM($F112:AF112)&gt;=AG177*$F$5,0,AG112)</f>
        <v>0</v>
      </c>
      <c r="AH46" s="331">
        <f>+IF(SUM($F112:AG112)&gt;=AH177*$F$5,0,AH112)</f>
        <v>0</v>
      </c>
      <c r="AI46" s="331">
        <f>+IF(SUM($F112:AH112)&gt;=AI177*$F$5,0,AI112)</f>
        <v>0</v>
      </c>
      <c r="AJ46" s="331">
        <f>+IF(SUM($F112:AI112)&gt;=AJ177*$F$5,0,AJ112)</f>
        <v>0</v>
      </c>
      <c r="AK46" s="331">
        <f>+IF(SUM($F112:AJ112)&gt;=AK177*$F$5,0,AK112)</f>
        <v>0</v>
      </c>
      <c r="AL46" s="331">
        <f>+IF(SUM($F112:AK112)&gt;=AL177*$F$5,0,AL112)</f>
        <v>0</v>
      </c>
      <c r="AM46" s="331">
        <f>+IF(SUM($F112:AL112)&gt;=AM177*$F$5,0,AM112)</f>
        <v>0</v>
      </c>
      <c r="AN46" s="331">
        <f>+IF(SUM($F112:AM112)&gt;=AN177*$F$5,0,AN112)</f>
        <v>0</v>
      </c>
      <c r="AO46" s="331">
        <f>+IF(SUM($F112:AN112)&gt;=AO177*$F$5,0,AO112)</f>
        <v>0</v>
      </c>
      <c r="AP46" s="331">
        <f>+IF(SUM($F112:AO112)&gt;=AP177*$F$5,0,AP112)</f>
        <v>0</v>
      </c>
      <c r="AQ46" s="331">
        <f>+IF(SUM($F112:AP112)&gt;=AQ177*$F$5,0,AQ112)</f>
        <v>0</v>
      </c>
      <c r="AR46" s="331">
        <f>+IF(SUM($F112:AQ112)&gt;=AR177*$F$5,0,AR112)</f>
        <v>0</v>
      </c>
      <c r="AS46" s="331">
        <f>+IF(SUM($F112:AR112)&gt;=AS177*$F$5,0,AS112)</f>
        <v>0</v>
      </c>
      <c r="AT46" s="331">
        <f>+IF(SUM($F112:AS112)&gt;=AT177*$F$5,0,AT112)</f>
        <v>0</v>
      </c>
      <c r="AU46" s="331">
        <f>+IF(SUM($F112:AT112)&gt;=AU177*$F$5,0,AU112)</f>
        <v>0</v>
      </c>
      <c r="AV46" s="331">
        <f>+IF(SUM($F112:AU112)&gt;=AV177*$F$5,0,AV112)</f>
        <v>0</v>
      </c>
      <c r="AW46" s="331">
        <f>+IF(SUM($F112:AV112)&gt;=AW177*$F$5,0,AW112)</f>
        <v>0</v>
      </c>
      <c r="AX46" s="331">
        <f>+IF(SUM($F112:AW112)&gt;=AX177*$F$5,0,AX112)</f>
        <v>0</v>
      </c>
      <c r="AY46" s="331">
        <f>+IF(SUM($F112:AX112)&gt;=AY177*$F$5,0,AY112)</f>
        <v>0</v>
      </c>
      <c r="AZ46" s="331">
        <f>+IF(SUM($F112:AY112)&gt;=AZ177*$F$5,0,AZ112)</f>
        <v>0</v>
      </c>
      <c r="BA46" s="331">
        <f>+IF(SUM($F112:AZ112)&gt;=BA177*$F$5,0,BA112)</f>
        <v>0</v>
      </c>
      <c r="BB46" s="331">
        <f>+IF(SUM($F112:BA112)&gt;=BB177*$F$5,0,BB112)</f>
        <v>0</v>
      </c>
      <c r="BC46" s="331">
        <f>+IF(SUM($F112:BB112)&gt;=BC177*$F$5,0,BC112)</f>
        <v>0</v>
      </c>
      <c r="BD46" s="331">
        <f>+IF(SUM($F112:BC112)&gt;=BD177*$F$5,0,BD112)</f>
        <v>0</v>
      </c>
      <c r="BE46" s="331">
        <f>+IF(SUM($F112:BD112)&gt;=BE177*$F$5,0,BE112)</f>
        <v>0</v>
      </c>
      <c r="BF46" s="331">
        <f>+IF(SUM($F112:BE112)&gt;=BF177*$F$5,0,BF112)</f>
        <v>0</v>
      </c>
      <c r="BG46" s="331">
        <f>+IF(SUM($F112:BF112)&gt;=BG177*$F$5,0,BG112)</f>
        <v>0</v>
      </c>
      <c r="BH46" s="331">
        <f>+IF(SUM($F112:BG112)&gt;=BH177*$F$5,0,BH112)</f>
        <v>0</v>
      </c>
      <c r="BI46" s="331">
        <f>+IF(SUM($F112:BH112)&gt;=BI177*$F$5,0,BI112)</f>
        <v>0</v>
      </c>
      <c r="BJ46" s="331">
        <f>+IF(SUM($F112:BI112)&gt;=BJ177*$F$5,0,BJ112)</f>
        <v>0</v>
      </c>
      <c r="BK46" s="331">
        <f>+IF(SUM($F112:BJ112)&gt;=BK177*$F$5,0,BK112)</f>
        <v>0</v>
      </c>
      <c r="BL46" s="331">
        <f>+IF(SUM($F112:BK112)&gt;=BL177*$F$5,0,BL112)</f>
        <v>0</v>
      </c>
      <c r="BM46" s="331">
        <f>+IF(SUM($F112:BL112)&gt;=BM177*$F$5,0,BM112)</f>
        <v>0</v>
      </c>
    </row>
    <row r="47" spans="5:65" ht="15.75">
      <c r="E47" s="416">
        <f t="shared" si="12"/>
        <v>44520</v>
      </c>
      <c r="F47" s="331">
        <f t="shared" si="11"/>
        <v>0</v>
      </c>
      <c r="G47" s="331">
        <f>+IF(SUM($F113:F113)&gt;=G178*$F$5,0,G113)</f>
        <v>0</v>
      </c>
      <c r="H47" s="331">
        <f>+IF(SUM($F113:G113)&gt;=H178*$F$5,0,H113)</f>
        <v>0</v>
      </c>
      <c r="I47" s="331">
        <f>+IF(SUM($F113:H113)&gt;=I178*$F$5,0,I113)</f>
        <v>0</v>
      </c>
      <c r="J47" s="331">
        <f>+IF(SUM($F113:I113)&gt;=J178*$F$5,0,J113)</f>
        <v>0</v>
      </c>
      <c r="K47" s="331">
        <f>+IF(SUM($F113:J113)&gt;=K178*$F$5,0,K113)</f>
        <v>0</v>
      </c>
      <c r="L47" s="331">
        <f>+IF(SUM($F113:K113)&gt;=L178*$F$5,0,L113)</f>
        <v>0</v>
      </c>
      <c r="M47" s="331">
        <f>+IF(SUM($F113:L113)&gt;=M178*$F$5,0,M113)</f>
        <v>0</v>
      </c>
      <c r="N47" s="331">
        <f>+IF(SUM($F113:M113)&gt;=N178*$F$5,0,N113)</f>
        <v>0</v>
      </c>
      <c r="O47" s="331">
        <f>+IF(SUM($F113:N113)&gt;=O178*$F$5,0,O113)</f>
        <v>0</v>
      </c>
      <c r="P47" s="331">
        <f>+IF(SUM($F113:O113)&gt;=P178*$F$5,0,P113)</f>
        <v>0</v>
      </c>
      <c r="Q47" s="331">
        <f>+IF(SUM($F113:P113)&gt;=Q178*$F$5,0,Q113)</f>
        <v>0</v>
      </c>
      <c r="R47" s="331">
        <f>+IF(SUM($F113:Q113)&gt;=R178*$F$5,0,R113)</f>
        <v>0</v>
      </c>
      <c r="S47" s="331">
        <f>+IF(SUM($F113:R113)&gt;=S178*$F$5,0,S113)</f>
        <v>0</v>
      </c>
      <c r="T47" s="331">
        <f>+IF(SUM($F113:S113)&gt;=T178*$F$5,0,T113)</f>
        <v>0</v>
      </c>
      <c r="U47" s="331">
        <f>+IF(SUM($F113:T113)&gt;=U178*$F$5,0,U113)</f>
        <v>0</v>
      </c>
      <c r="V47" s="331">
        <f>+IF(SUM($F113:U113)&gt;=V178*$F$5,0,V113)</f>
        <v>0</v>
      </c>
      <c r="W47" s="331">
        <f>+IF(SUM($F113:V113)&gt;=W178*$F$5,0,W113)</f>
        <v>0</v>
      </c>
      <c r="X47" s="331">
        <f>+IF(SUM($F113:W113)&gt;=X178*$F$5,0,X113)</f>
        <v>0</v>
      </c>
      <c r="Y47" s="331">
        <f>+IF(SUM($F113:X113)&gt;=Y178*$F$5,0,Y113)</f>
        <v>0</v>
      </c>
      <c r="Z47" s="331">
        <f>+IF(SUM($F113:Y113)&gt;=Z178*$F$5,0,Z113)</f>
        <v>0</v>
      </c>
      <c r="AA47" s="331">
        <f>+IF(SUM($F113:Z113)&gt;=AA178*$F$5,0,AA113)</f>
        <v>0</v>
      </c>
      <c r="AB47" s="331">
        <f>+IF(SUM($F113:AA113)&gt;=AB178*$F$5,0,AB113)</f>
        <v>0</v>
      </c>
      <c r="AC47" s="331">
        <f>+IF(SUM($F113:AB113)&gt;=AC178*$F$5,0,AC113)</f>
        <v>0</v>
      </c>
      <c r="AD47" s="331">
        <f>+IF(SUM($F113:AC113)&gt;=AD178*$F$5,0,AD113)</f>
        <v>0</v>
      </c>
      <c r="AE47" s="331">
        <f>+IF(SUM($F113:AD113)&gt;=AE178*$F$5,0,AE113)</f>
        <v>0</v>
      </c>
      <c r="AF47" s="331">
        <f>+IF(SUM($F113:AE113)&gt;=AF178*$F$5,0,AF113)</f>
        <v>0</v>
      </c>
      <c r="AG47" s="331">
        <f>+IF(SUM($F113:AF113)&gt;=AG178*$F$5,0,AG113)</f>
        <v>0</v>
      </c>
      <c r="AH47" s="331">
        <f>+IF(SUM($F113:AG113)&gt;=AH178*$F$5,0,AH113)</f>
        <v>0</v>
      </c>
      <c r="AI47" s="331">
        <f>+IF(SUM($F113:AH113)&gt;=AI178*$F$5,0,AI113)</f>
        <v>0</v>
      </c>
      <c r="AJ47" s="331">
        <f>+IF(SUM($F113:AI113)&gt;=AJ178*$F$5,0,AJ113)</f>
        <v>0</v>
      </c>
      <c r="AK47" s="331">
        <f>+IF(SUM($F113:AJ113)&gt;=AK178*$F$5,0,AK113)</f>
        <v>0</v>
      </c>
      <c r="AL47" s="331">
        <f>+IF(SUM($F113:AK113)&gt;=AL178*$F$5,0,AL113)</f>
        <v>0</v>
      </c>
      <c r="AM47" s="331">
        <f>+IF(SUM($F113:AL113)&gt;=AM178*$F$5,0,AM113)</f>
        <v>0</v>
      </c>
      <c r="AN47" s="331">
        <f>+IF(SUM($F113:AM113)&gt;=AN178*$F$5,0,AN113)</f>
        <v>0</v>
      </c>
      <c r="AO47" s="331">
        <f>+IF(SUM($F113:AN113)&gt;=AO178*$F$5,0,AO113)</f>
        <v>0</v>
      </c>
      <c r="AP47" s="331">
        <f>+IF(SUM($F113:AO113)&gt;=AP178*$F$5,0,AP113)</f>
        <v>0</v>
      </c>
      <c r="AQ47" s="331">
        <f>+IF(SUM($F113:AP113)&gt;=AQ178*$F$5,0,AQ113)</f>
        <v>0</v>
      </c>
      <c r="AR47" s="331">
        <f>+IF(SUM($F113:AQ113)&gt;=AR178*$F$5,0,AR113)</f>
        <v>0</v>
      </c>
      <c r="AS47" s="331">
        <f>+IF(SUM($F113:AR113)&gt;=AS178*$F$5,0,AS113)</f>
        <v>0</v>
      </c>
      <c r="AT47" s="331">
        <f>+IF(SUM($F113:AS113)&gt;=AT178*$F$5,0,AT113)</f>
        <v>0</v>
      </c>
      <c r="AU47" s="331">
        <f>+IF(SUM($F113:AT113)&gt;=AU178*$F$5,0,AU113)</f>
        <v>0</v>
      </c>
      <c r="AV47" s="331">
        <f>+IF(SUM($F113:AU113)&gt;=AV178*$F$5,0,AV113)</f>
        <v>0</v>
      </c>
      <c r="AW47" s="331">
        <f>+IF(SUM($F113:AV113)&gt;=AW178*$F$5,0,AW113)</f>
        <v>0</v>
      </c>
      <c r="AX47" s="331">
        <f>+IF(SUM($F113:AW113)&gt;=AX178*$F$5,0,AX113)</f>
        <v>0</v>
      </c>
      <c r="AY47" s="331">
        <f>+IF(SUM($F113:AX113)&gt;=AY178*$F$5,0,AY113)</f>
        <v>0</v>
      </c>
      <c r="AZ47" s="331">
        <f>+IF(SUM($F113:AY113)&gt;=AZ178*$F$5,0,AZ113)</f>
        <v>0</v>
      </c>
      <c r="BA47" s="331">
        <f>+IF(SUM($F113:AZ113)&gt;=BA178*$F$5,0,BA113)</f>
        <v>0</v>
      </c>
      <c r="BB47" s="331">
        <f>+IF(SUM($F113:BA113)&gt;=BB178*$F$5,0,BB113)</f>
        <v>0</v>
      </c>
      <c r="BC47" s="331">
        <f>+IF(SUM($F113:BB113)&gt;=BC178*$F$5,0,BC113)</f>
        <v>0</v>
      </c>
      <c r="BD47" s="331">
        <f>+IF(SUM($F113:BC113)&gt;=BD178*$F$5,0,BD113)</f>
        <v>0</v>
      </c>
      <c r="BE47" s="331">
        <f>+IF(SUM($F113:BD113)&gt;=BE178*$F$5,0,BE113)</f>
        <v>0</v>
      </c>
      <c r="BF47" s="331">
        <f>+IF(SUM($F113:BE113)&gt;=BF178*$F$5,0,BF113)</f>
        <v>0</v>
      </c>
      <c r="BG47" s="331">
        <f>+IF(SUM($F113:BF113)&gt;=BG178*$F$5,0,BG113)</f>
        <v>0</v>
      </c>
      <c r="BH47" s="331">
        <f>+IF(SUM($F113:BG113)&gt;=BH178*$F$5,0,BH113)</f>
        <v>0</v>
      </c>
      <c r="BI47" s="331">
        <f>+IF(SUM($F113:BH113)&gt;=BI178*$F$5,0,BI113)</f>
        <v>0</v>
      </c>
      <c r="BJ47" s="331">
        <f>+IF(SUM($F113:BI113)&gt;=BJ178*$F$5,0,BJ113)</f>
        <v>0</v>
      </c>
      <c r="BK47" s="331">
        <f>+IF(SUM($F113:BJ113)&gt;=BK178*$F$5,0,BK113)</f>
        <v>0</v>
      </c>
      <c r="BL47" s="331">
        <f>+IF(SUM($F113:BK113)&gt;=BL178*$F$5,0,BL113)</f>
        <v>0</v>
      </c>
      <c r="BM47" s="331">
        <f>+IF(SUM($F113:BL113)&gt;=BM178*$F$5,0,BM113)</f>
        <v>0</v>
      </c>
    </row>
    <row r="48" spans="5:65" ht="15.75">
      <c r="E48" s="416">
        <f t="shared" si="12"/>
        <v>44551</v>
      </c>
      <c r="F48" s="331">
        <f t="shared" si="11"/>
        <v>0</v>
      </c>
      <c r="G48" s="331">
        <f>+IF(SUM($F114:F114)&gt;=G179*$F$5,0,G114)</f>
        <v>0</v>
      </c>
      <c r="H48" s="331">
        <f>+IF(SUM($F114:G114)&gt;=H179*$F$5,0,H114)</f>
        <v>0</v>
      </c>
      <c r="I48" s="331">
        <f>+IF(SUM($F114:H114)&gt;=I179*$F$5,0,I114)</f>
        <v>0</v>
      </c>
      <c r="J48" s="331">
        <f>+IF(SUM($F114:I114)&gt;=J179*$F$5,0,J114)</f>
        <v>0</v>
      </c>
      <c r="K48" s="331">
        <f>+IF(SUM($F114:J114)&gt;=K179*$F$5,0,K114)</f>
        <v>0</v>
      </c>
      <c r="L48" s="331">
        <f>+IF(SUM($F114:K114)&gt;=L179*$F$5,0,L114)</f>
        <v>0</v>
      </c>
      <c r="M48" s="331">
        <f>+IF(SUM($F114:L114)&gt;=M179*$F$5,0,M114)</f>
        <v>0</v>
      </c>
      <c r="N48" s="331">
        <f>+IF(SUM($F114:M114)&gt;=N179*$F$5,0,N114)</f>
        <v>0</v>
      </c>
      <c r="O48" s="331">
        <f>+IF(SUM($F114:N114)&gt;=O179*$F$5,0,O114)</f>
        <v>0</v>
      </c>
      <c r="P48" s="331">
        <f>+IF(SUM($F114:O114)&gt;=P179*$F$5,0,P114)</f>
        <v>0</v>
      </c>
      <c r="Q48" s="331">
        <f>+IF(SUM($F114:P114)&gt;=Q179*$F$5,0,Q114)</f>
        <v>0</v>
      </c>
      <c r="R48" s="331">
        <f>+IF(SUM($F114:Q114)&gt;=R179*$F$5,0,R114)</f>
        <v>0</v>
      </c>
      <c r="S48" s="331">
        <f>+IF(SUM($F114:R114)&gt;=S179*$F$5,0,S114)</f>
        <v>0</v>
      </c>
      <c r="T48" s="331">
        <f>+IF(SUM($F114:S114)&gt;=T179*$F$5,0,T114)</f>
        <v>0</v>
      </c>
      <c r="U48" s="331">
        <f>+IF(SUM($F114:T114)&gt;=U179*$F$5,0,U114)</f>
        <v>0</v>
      </c>
      <c r="V48" s="331">
        <f>+IF(SUM($F114:U114)&gt;=V179*$F$5,0,V114)</f>
        <v>0</v>
      </c>
      <c r="W48" s="331">
        <f>+IF(SUM($F114:V114)&gt;=W179*$F$5,0,W114)</f>
        <v>0</v>
      </c>
      <c r="X48" s="331">
        <f>+IF(SUM($F114:W114)&gt;=X179*$F$5,0,X114)</f>
        <v>0</v>
      </c>
      <c r="Y48" s="331">
        <f>+IF(SUM($F114:X114)&gt;=Y179*$F$5,0,Y114)</f>
        <v>0</v>
      </c>
      <c r="Z48" s="331">
        <f>+IF(SUM($F114:Y114)&gt;=Z179*$F$5,0,Z114)</f>
        <v>0</v>
      </c>
      <c r="AA48" s="331">
        <f>+IF(SUM($F114:Z114)&gt;=AA179*$F$5,0,AA114)</f>
        <v>0</v>
      </c>
      <c r="AB48" s="331">
        <f>+IF(SUM($F114:AA114)&gt;=AB179*$F$5,0,AB114)</f>
        <v>0</v>
      </c>
      <c r="AC48" s="331">
        <f>+IF(SUM($F114:AB114)&gt;=AC179*$F$5,0,AC114)</f>
        <v>0</v>
      </c>
      <c r="AD48" s="331">
        <f>+IF(SUM($F114:AC114)&gt;=AD179*$F$5,0,AD114)</f>
        <v>0</v>
      </c>
      <c r="AE48" s="331">
        <f>+IF(SUM($F114:AD114)&gt;=AE179*$F$5,0,AE114)</f>
        <v>0</v>
      </c>
      <c r="AF48" s="331">
        <f>+IF(SUM($F114:AE114)&gt;=AF179*$F$5,0,AF114)</f>
        <v>0</v>
      </c>
      <c r="AG48" s="331">
        <f>+IF(SUM($F114:AF114)&gt;=AG179*$F$5,0,AG114)</f>
        <v>0</v>
      </c>
      <c r="AH48" s="331">
        <f>+IF(SUM($F114:AG114)&gt;=AH179*$F$5,0,AH114)</f>
        <v>0</v>
      </c>
      <c r="AI48" s="331">
        <f>+IF(SUM($F114:AH114)&gt;=AI179*$F$5,0,AI114)</f>
        <v>0</v>
      </c>
      <c r="AJ48" s="331">
        <f>+IF(SUM($F114:AI114)&gt;=AJ179*$F$5,0,AJ114)</f>
        <v>0</v>
      </c>
      <c r="AK48" s="331">
        <f>+IF(SUM($F114:AJ114)&gt;=AK179*$F$5,0,AK114)</f>
        <v>0</v>
      </c>
      <c r="AL48" s="331">
        <f>+IF(SUM($F114:AK114)&gt;=AL179*$F$5,0,AL114)</f>
        <v>0</v>
      </c>
      <c r="AM48" s="331">
        <f>+IF(SUM($F114:AL114)&gt;=AM179*$F$5,0,AM114)</f>
        <v>0</v>
      </c>
      <c r="AN48" s="331">
        <f>+IF(SUM($F114:AM114)&gt;=AN179*$F$5,0,AN114)</f>
        <v>0</v>
      </c>
      <c r="AO48" s="331">
        <f>+IF(SUM($F114:AN114)&gt;=AO179*$F$5,0,AO114)</f>
        <v>0</v>
      </c>
      <c r="AP48" s="331">
        <f>+IF(SUM($F114:AO114)&gt;=AP179*$F$5,0,AP114)</f>
        <v>0</v>
      </c>
      <c r="AQ48" s="331">
        <f>+IF(SUM($F114:AP114)&gt;=AQ179*$F$5,0,AQ114)</f>
        <v>0</v>
      </c>
      <c r="AR48" s="331">
        <f>+IF(SUM($F114:AQ114)&gt;=AR179*$F$5,0,AR114)</f>
        <v>0</v>
      </c>
      <c r="AS48" s="331">
        <f>+IF(SUM($F114:AR114)&gt;=AS179*$F$5,0,AS114)</f>
        <v>0</v>
      </c>
      <c r="AT48" s="331">
        <f>+IF(SUM($F114:AS114)&gt;=AT179*$F$5,0,AT114)</f>
        <v>0</v>
      </c>
      <c r="AU48" s="331">
        <f>+IF(SUM($F114:AT114)&gt;=AU179*$F$5,0,AU114)</f>
        <v>0</v>
      </c>
      <c r="AV48" s="331">
        <f>+IF(SUM($F114:AU114)&gt;=AV179*$F$5,0,AV114)</f>
        <v>0</v>
      </c>
      <c r="AW48" s="331">
        <f>+IF(SUM($F114:AV114)&gt;=AW179*$F$5,0,AW114)</f>
        <v>0</v>
      </c>
      <c r="AX48" s="331">
        <f>+IF(SUM($F114:AW114)&gt;=AX179*$F$5,0,AX114)</f>
        <v>0</v>
      </c>
      <c r="AY48" s="331">
        <f>+IF(SUM($F114:AX114)&gt;=AY179*$F$5,0,AY114)</f>
        <v>0</v>
      </c>
      <c r="AZ48" s="331">
        <f>+IF(SUM($F114:AY114)&gt;=AZ179*$F$5,0,AZ114)</f>
        <v>0</v>
      </c>
      <c r="BA48" s="331">
        <f>+IF(SUM($F114:AZ114)&gt;=BA179*$F$5,0,BA114)</f>
        <v>0</v>
      </c>
      <c r="BB48" s="331">
        <f>+IF(SUM($F114:BA114)&gt;=BB179*$F$5,0,BB114)</f>
        <v>0</v>
      </c>
      <c r="BC48" s="331">
        <f>+IF(SUM($F114:BB114)&gt;=BC179*$F$5,0,BC114)</f>
        <v>0</v>
      </c>
      <c r="BD48" s="331">
        <f>+IF(SUM($F114:BC114)&gt;=BD179*$F$5,0,BD114)</f>
        <v>0</v>
      </c>
      <c r="BE48" s="331">
        <f>+IF(SUM($F114:BD114)&gt;=BE179*$F$5,0,BE114)</f>
        <v>0</v>
      </c>
      <c r="BF48" s="331">
        <f>+IF(SUM($F114:BE114)&gt;=BF179*$F$5,0,BF114)</f>
        <v>0</v>
      </c>
      <c r="BG48" s="331">
        <f>+IF(SUM($F114:BF114)&gt;=BG179*$F$5,0,BG114)</f>
        <v>0</v>
      </c>
      <c r="BH48" s="331">
        <f>+IF(SUM($F114:BG114)&gt;=BH179*$F$5,0,BH114)</f>
        <v>0</v>
      </c>
      <c r="BI48" s="331">
        <f>+IF(SUM($F114:BH114)&gt;=BI179*$F$5,0,BI114)</f>
        <v>0</v>
      </c>
      <c r="BJ48" s="331">
        <f>+IF(SUM($F114:BI114)&gt;=BJ179*$F$5,0,BJ114)</f>
        <v>0</v>
      </c>
      <c r="BK48" s="331">
        <f>+IF(SUM($F114:BJ114)&gt;=BK179*$F$5,0,BK114)</f>
        <v>0</v>
      </c>
      <c r="BL48" s="331">
        <f>+IF(SUM($F114:BK114)&gt;=BL179*$F$5,0,BL114)</f>
        <v>0</v>
      </c>
      <c r="BM48" s="331">
        <f>+IF(SUM($F114:BL114)&gt;=BM179*$F$5,0,BM114)</f>
        <v>0</v>
      </c>
    </row>
    <row r="49" spans="5:65" ht="15.75">
      <c r="E49" s="416">
        <f t="shared" si="12"/>
        <v>44582</v>
      </c>
      <c r="F49" s="331">
        <f t="shared" si="11"/>
        <v>0</v>
      </c>
      <c r="G49" s="331">
        <f>+IF(SUM($F115:F115)&gt;=G180*$F$5,0,G115)</f>
        <v>0</v>
      </c>
      <c r="H49" s="331">
        <f>+IF(SUM($F115:G115)&gt;=H180*$F$5,0,H115)</f>
        <v>0</v>
      </c>
      <c r="I49" s="331">
        <f>+IF(SUM($F115:H115)&gt;=I180*$F$5,0,I115)</f>
        <v>0</v>
      </c>
      <c r="J49" s="331">
        <f>+IF(SUM($F115:I115)&gt;=J180*$F$5,0,J115)</f>
        <v>0</v>
      </c>
      <c r="K49" s="331">
        <f>+IF(SUM($F115:J115)&gt;=K180*$F$5,0,K115)</f>
        <v>0</v>
      </c>
      <c r="L49" s="331">
        <f>+IF(SUM($F115:K115)&gt;=L180*$F$5,0,L115)</f>
        <v>0</v>
      </c>
      <c r="M49" s="331">
        <f>+IF(SUM($F115:L115)&gt;=M180*$F$5,0,M115)</f>
        <v>0</v>
      </c>
      <c r="N49" s="331">
        <f>+IF(SUM($F115:M115)&gt;=N180*$F$5,0,N115)</f>
        <v>0</v>
      </c>
      <c r="O49" s="331">
        <f>+IF(SUM($F115:N115)&gt;=O180*$F$5,0,O115)</f>
        <v>0</v>
      </c>
      <c r="P49" s="331">
        <f>+IF(SUM($F115:O115)&gt;=P180*$F$5,0,P115)</f>
        <v>0</v>
      </c>
      <c r="Q49" s="331">
        <f>+IF(SUM($F115:P115)&gt;=Q180*$F$5,0,Q115)</f>
        <v>0</v>
      </c>
      <c r="R49" s="331">
        <f>+IF(SUM($F115:Q115)&gt;=R180*$F$5,0,R115)</f>
        <v>0</v>
      </c>
      <c r="S49" s="331">
        <f>+IF(SUM($F115:R115)&gt;=S180*$F$5,0,S115)</f>
        <v>0</v>
      </c>
      <c r="T49" s="331">
        <f>+IF(SUM($F115:S115)&gt;=T180*$F$5,0,T115)</f>
        <v>0</v>
      </c>
      <c r="U49" s="331">
        <f>+IF(SUM($F115:T115)&gt;=U180*$F$5,0,U115)</f>
        <v>0</v>
      </c>
      <c r="V49" s="331">
        <f>+IF(SUM($F115:U115)&gt;=V180*$F$5,0,V115)</f>
        <v>0</v>
      </c>
      <c r="W49" s="331">
        <f>+IF(SUM($F115:V115)&gt;=W180*$F$5,0,W115)</f>
        <v>0</v>
      </c>
      <c r="X49" s="331">
        <f>+IF(SUM($F115:W115)&gt;=X180*$F$5,0,X115)</f>
        <v>0</v>
      </c>
      <c r="Y49" s="331">
        <f>+IF(SUM($F115:X115)&gt;=Y180*$F$5,0,Y115)</f>
        <v>0</v>
      </c>
      <c r="Z49" s="331">
        <f>+IF(SUM($F115:Y115)&gt;=Z180*$F$5,0,Z115)</f>
        <v>0</v>
      </c>
      <c r="AA49" s="331">
        <f>+IF(SUM($F115:Z115)&gt;=AA180*$F$5,0,AA115)</f>
        <v>0</v>
      </c>
      <c r="AB49" s="331">
        <f>+IF(SUM($F115:AA115)&gt;=AB180*$F$5,0,AB115)</f>
        <v>0</v>
      </c>
      <c r="AC49" s="331">
        <f>+IF(SUM($F115:AB115)&gt;=AC180*$F$5,0,AC115)</f>
        <v>0</v>
      </c>
      <c r="AD49" s="331">
        <f>+IF(SUM($F115:AC115)&gt;=AD180*$F$5,0,AD115)</f>
        <v>0</v>
      </c>
      <c r="AE49" s="331">
        <f>+IF(SUM($F115:AD115)&gt;=AE180*$F$5,0,AE115)</f>
        <v>0</v>
      </c>
      <c r="AF49" s="331">
        <f>+IF(SUM($F115:AE115)&gt;=AF180*$F$5,0,AF115)</f>
        <v>0</v>
      </c>
      <c r="AG49" s="331">
        <f>+IF(SUM($F115:AF115)&gt;=AG180*$F$5,0,AG115)</f>
        <v>0</v>
      </c>
      <c r="AH49" s="331">
        <f>+IF(SUM($F115:AG115)&gt;=AH180*$F$5,0,AH115)</f>
        <v>0</v>
      </c>
      <c r="AI49" s="331">
        <f>+IF(SUM($F115:AH115)&gt;=AI180*$F$5,0,AI115)</f>
        <v>0</v>
      </c>
      <c r="AJ49" s="331">
        <f>+IF(SUM($F115:AI115)&gt;=AJ180*$F$5,0,AJ115)</f>
        <v>0</v>
      </c>
      <c r="AK49" s="331">
        <f>+IF(SUM($F115:AJ115)&gt;=AK180*$F$5,0,AK115)</f>
        <v>0</v>
      </c>
      <c r="AL49" s="331">
        <f>+IF(SUM($F115:AK115)&gt;=AL180*$F$5,0,AL115)</f>
        <v>0</v>
      </c>
      <c r="AM49" s="331">
        <f>+IF(SUM($F115:AL115)&gt;=AM180*$F$5,0,AM115)</f>
        <v>0</v>
      </c>
      <c r="AN49" s="331">
        <f>+IF(SUM($F115:AM115)&gt;=AN180*$F$5,0,AN115)</f>
        <v>0</v>
      </c>
      <c r="AO49" s="331">
        <f>+IF(SUM($F115:AN115)&gt;=AO180*$F$5,0,AO115)</f>
        <v>0</v>
      </c>
      <c r="AP49" s="331">
        <f>+IF(SUM($F115:AO115)&gt;=AP180*$F$5,0,AP115)</f>
        <v>0</v>
      </c>
      <c r="AQ49" s="331">
        <f>+IF(SUM($F115:AP115)&gt;=AQ180*$F$5,0,AQ115)</f>
        <v>0</v>
      </c>
      <c r="AR49" s="331">
        <f>+IF(SUM($F115:AQ115)&gt;=AR180*$F$5,0,AR115)</f>
        <v>0</v>
      </c>
      <c r="AS49" s="331">
        <f>+IF(SUM($F115:AR115)&gt;=AS180*$F$5,0,AS115)</f>
        <v>0</v>
      </c>
      <c r="AT49" s="331">
        <f>+IF(SUM($F115:AS115)&gt;=AT180*$F$5,0,AT115)</f>
        <v>0</v>
      </c>
      <c r="AU49" s="331">
        <f>+IF(SUM($F115:AT115)&gt;=AU180*$F$5,0,AU115)</f>
        <v>0</v>
      </c>
      <c r="AV49" s="331">
        <f>+IF(SUM($F115:AU115)&gt;=AV180*$F$5,0,AV115)</f>
        <v>0</v>
      </c>
      <c r="AW49" s="331">
        <f>+IF(SUM($F115:AV115)&gt;=AW180*$F$5,0,AW115)</f>
        <v>0</v>
      </c>
      <c r="AX49" s="331">
        <f>+IF(SUM($F115:AW115)&gt;=AX180*$F$5,0,AX115)</f>
        <v>0</v>
      </c>
      <c r="AY49" s="331">
        <f>+IF(SUM($F115:AX115)&gt;=AY180*$F$5,0,AY115)</f>
        <v>0</v>
      </c>
      <c r="AZ49" s="331">
        <f>+IF(SUM($F115:AY115)&gt;=AZ180*$F$5,0,AZ115)</f>
        <v>0</v>
      </c>
      <c r="BA49" s="331">
        <f>+IF(SUM($F115:AZ115)&gt;=BA180*$F$5,0,BA115)</f>
        <v>0</v>
      </c>
      <c r="BB49" s="331">
        <f>+IF(SUM($F115:BA115)&gt;=BB180*$F$5,0,BB115)</f>
        <v>0</v>
      </c>
      <c r="BC49" s="331">
        <f>+IF(SUM($F115:BB115)&gt;=BC180*$F$5,0,BC115)</f>
        <v>0</v>
      </c>
      <c r="BD49" s="331">
        <f>+IF(SUM($F115:BC115)&gt;=BD180*$F$5,0,BD115)</f>
        <v>0</v>
      </c>
      <c r="BE49" s="331">
        <f>+IF(SUM($F115:BD115)&gt;=BE180*$F$5,0,BE115)</f>
        <v>0</v>
      </c>
      <c r="BF49" s="331">
        <f>+IF(SUM($F115:BE115)&gt;=BF180*$F$5,0,BF115)</f>
        <v>0</v>
      </c>
      <c r="BG49" s="331">
        <f>+IF(SUM($F115:BF115)&gt;=BG180*$F$5,0,BG115)</f>
        <v>0</v>
      </c>
      <c r="BH49" s="331">
        <f>+IF(SUM($F115:BG115)&gt;=BH180*$F$5,0,BH115)</f>
        <v>0</v>
      </c>
      <c r="BI49" s="331">
        <f>+IF(SUM($F115:BH115)&gt;=BI180*$F$5,0,BI115)</f>
        <v>0</v>
      </c>
      <c r="BJ49" s="331">
        <f>+IF(SUM($F115:BI115)&gt;=BJ180*$F$5,0,BJ115)</f>
        <v>0</v>
      </c>
      <c r="BK49" s="331">
        <f>+IF(SUM($F115:BJ115)&gt;=BK180*$F$5,0,BK115)</f>
        <v>0</v>
      </c>
      <c r="BL49" s="331">
        <f>+IF(SUM($F115:BK115)&gt;=BL180*$F$5,0,BL115)</f>
        <v>0</v>
      </c>
      <c r="BM49" s="331">
        <f>+IF(SUM($F115:BL115)&gt;=BM180*$F$5,0,BM115)</f>
        <v>0</v>
      </c>
    </row>
    <row r="50" spans="5:65" ht="15.75">
      <c r="E50" s="416">
        <f t="shared" si="12"/>
        <v>44613</v>
      </c>
      <c r="F50" s="331">
        <f t="shared" si="11"/>
        <v>0</v>
      </c>
      <c r="G50" s="331">
        <f>+IF(SUM($F116:F116)&gt;=G181*$F$5,0,G116)</f>
        <v>0</v>
      </c>
      <c r="H50" s="331">
        <f>+IF(SUM($F116:G116)&gt;=H181*$F$5,0,H116)</f>
        <v>0</v>
      </c>
      <c r="I50" s="331">
        <f>+IF(SUM($F116:H116)&gt;=I181*$F$5,0,I116)</f>
        <v>0</v>
      </c>
      <c r="J50" s="331">
        <f>+IF(SUM($F116:I116)&gt;=J181*$F$5,0,J116)</f>
        <v>0</v>
      </c>
      <c r="K50" s="331">
        <f>+IF(SUM($F116:J116)&gt;=K181*$F$5,0,K116)</f>
        <v>0</v>
      </c>
      <c r="L50" s="331">
        <f>+IF(SUM($F116:K116)&gt;=L181*$F$5,0,L116)</f>
        <v>0</v>
      </c>
      <c r="M50" s="331">
        <f>+IF(SUM($F116:L116)&gt;=M181*$F$5,0,M116)</f>
        <v>0</v>
      </c>
      <c r="N50" s="331">
        <f>+IF(SUM($F116:M116)&gt;=N181*$F$5,0,N116)</f>
        <v>0</v>
      </c>
      <c r="O50" s="331">
        <f>+IF(SUM($F116:N116)&gt;=O181*$F$5,0,O116)</f>
        <v>0</v>
      </c>
      <c r="P50" s="331">
        <f>+IF(SUM($F116:O116)&gt;=P181*$F$5,0,P116)</f>
        <v>0</v>
      </c>
      <c r="Q50" s="331">
        <f>+IF(SUM($F116:P116)&gt;=Q181*$F$5,0,Q116)</f>
        <v>0</v>
      </c>
      <c r="R50" s="331">
        <f>+IF(SUM($F116:Q116)&gt;=R181*$F$5,0,R116)</f>
        <v>0</v>
      </c>
      <c r="S50" s="331">
        <f>+IF(SUM($F116:R116)&gt;=S181*$F$5,0,S116)</f>
        <v>0</v>
      </c>
      <c r="T50" s="331">
        <f>+IF(SUM($F116:S116)&gt;=T181*$F$5,0,T116)</f>
        <v>0</v>
      </c>
      <c r="U50" s="331">
        <f>+IF(SUM($F116:T116)&gt;=U181*$F$5,0,U116)</f>
        <v>0</v>
      </c>
      <c r="V50" s="331">
        <f>+IF(SUM($F116:U116)&gt;=V181*$F$5,0,V116)</f>
        <v>0</v>
      </c>
      <c r="W50" s="331">
        <f>+IF(SUM($F116:V116)&gt;=W181*$F$5,0,W116)</f>
        <v>0</v>
      </c>
      <c r="X50" s="331">
        <f>+IF(SUM($F116:W116)&gt;=X181*$F$5,0,X116)</f>
        <v>0</v>
      </c>
      <c r="Y50" s="331">
        <f>+IF(SUM($F116:X116)&gt;=Y181*$F$5,0,Y116)</f>
        <v>0</v>
      </c>
      <c r="Z50" s="331">
        <f>+IF(SUM($F116:Y116)&gt;=Z181*$F$5,0,Z116)</f>
        <v>0</v>
      </c>
      <c r="AA50" s="331">
        <f>+IF(SUM($F116:Z116)&gt;=AA181*$F$5,0,AA116)</f>
        <v>0</v>
      </c>
      <c r="AB50" s="331">
        <f>+IF(SUM($F116:AA116)&gt;=AB181*$F$5,0,AB116)</f>
        <v>0</v>
      </c>
      <c r="AC50" s="331">
        <f>+IF(SUM($F116:AB116)&gt;=AC181*$F$5,0,AC116)</f>
        <v>0</v>
      </c>
      <c r="AD50" s="331">
        <f>+IF(SUM($F116:AC116)&gt;=AD181*$F$5,0,AD116)</f>
        <v>0</v>
      </c>
      <c r="AE50" s="331">
        <f>+IF(SUM($F116:AD116)&gt;=AE181*$F$5,0,AE116)</f>
        <v>0</v>
      </c>
      <c r="AF50" s="331">
        <f>+IF(SUM($F116:AE116)&gt;=AF181*$F$5,0,AF116)</f>
        <v>0</v>
      </c>
      <c r="AG50" s="331">
        <f>+IF(SUM($F116:AF116)&gt;=AG181*$F$5,0,AG116)</f>
        <v>0</v>
      </c>
      <c r="AH50" s="331">
        <f>+IF(SUM($F116:AG116)&gt;=AH181*$F$5,0,AH116)</f>
        <v>0</v>
      </c>
      <c r="AI50" s="331">
        <f>+IF(SUM($F116:AH116)&gt;=AI181*$F$5,0,AI116)</f>
        <v>0</v>
      </c>
      <c r="AJ50" s="331">
        <f>+IF(SUM($F116:AI116)&gt;=AJ181*$F$5,0,AJ116)</f>
        <v>0</v>
      </c>
      <c r="AK50" s="331">
        <f>+IF(SUM($F116:AJ116)&gt;=AK181*$F$5,0,AK116)</f>
        <v>0</v>
      </c>
      <c r="AL50" s="331">
        <f>+IF(SUM($F116:AK116)&gt;=AL181*$F$5,0,AL116)</f>
        <v>0</v>
      </c>
      <c r="AM50" s="331">
        <f>+IF(SUM($F116:AL116)&gt;=AM181*$F$5,0,AM116)</f>
        <v>0</v>
      </c>
      <c r="AN50" s="331">
        <f>+IF(SUM($F116:AM116)&gt;=AN181*$F$5,0,AN116)</f>
        <v>0</v>
      </c>
      <c r="AO50" s="331">
        <f>+IF(SUM($F116:AN116)&gt;=AO181*$F$5,0,AO116)</f>
        <v>0</v>
      </c>
      <c r="AP50" s="331">
        <f>+IF(SUM($F116:AO116)&gt;=AP181*$F$5,0,AP116)</f>
        <v>0</v>
      </c>
      <c r="AQ50" s="331">
        <f>+IF(SUM($F116:AP116)&gt;=AQ181*$F$5,0,AQ116)</f>
        <v>0</v>
      </c>
      <c r="AR50" s="331">
        <f>+IF(SUM($F116:AQ116)&gt;=AR181*$F$5,0,AR116)</f>
        <v>0</v>
      </c>
      <c r="AS50" s="331">
        <f>+IF(SUM($F116:AR116)&gt;=AS181*$F$5,0,AS116)</f>
        <v>0</v>
      </c>
      <c r="AT50" s="331">
        <f>+IF(SUM($F116:AS116)&gt;=AT181*$F$5,0,AT116)</f>
        <v>0</v>
      </c>
      <c r="AU50" s="331">
        <f>+IF(SUM($F116:AT116)&gt;=AU181*$F$5,0,AU116)</f>
        <v>0</v>
      </c>
      <c r="AV50" s="331">
        <f>+IF(SUM($F116:AU116)&gt;=AV181*$F$5,0,AV116)</f>
        <v>0</v>
      </c>
      <c r="AW50" s="331">
        <f>+IF(SUM($F116:AV116)&gt;=AW181*$F$5,0,AW116)</f>
        <v>0</v>
      </c>
      <c r="AX50" s="331">
        <f>+IF(SUM($F116:AW116)&gt;=AX181*$F$5,0,AX116)</f>
        <v>0</v>
      </c>
      <c r="AY50" s="331">
        <f>+IF(SUM($F116:AX116)&gt;=AY181*$F$5,0,AY116)</f>
        <v>0</v>
      </c>
      <c r="AZ50" s="331">
        <f>+IF(SUM($F116:AY116)&gt;=AZ181*$F$5,0,AZ116)</f>
        <v>0</v>
      </c>
      <c r="BA50" s="331">
        <f>+IF(SUM($F116:AZ116)&gt;=BA181*$F$5,0,BA116)</f>
        <v>0</v>
      </c>
      <c r="BB50" s="331">
        <f>+IF(SUM($F116:BA116)&gt;=BB181*$F$5,0,BB116)</f>
        <v>0</v>
      </c>
      <c r="BC50" s="331">
        <f>+IF(SUM($F116:BB116)&gt;=BC181*$F$5,0,BC116)</f>
        <v>0</v>
      </c>
      <c r="BD50" s="331">
        <f>+IF(SUM($F116:BC116)&gt;=BD181*$F$5,0,BD116)</f>
        <v>0</v>
      </c>
      <c r="BE50" s="331">
        <f>+IF(SUM($F116:BD116)&gt;=BE181*$F$5,0,BE116)</f>
        <v>0</v>
      </c>
      <c r="BF50" s="331">
        <f>+IF(SUM($F116:BE116)&gt;=BF181*$F$5,0,BF116)</f>
        <v>0</v>
      </c>
      <c r="BG50" s="331">
        <f>+IF(SUM($F116:BF116)&gt;=BG181*$F$5,0,BG116)</f>
        <v>0</v>
      </c>
      <c r="BH50" s="331">
        <f>+IF(SUM($F116:BG116)&gt;=BH181*$F$5,0,BH116)</f>
        <v>0</v>
      </c>
      <c r="BI50" s="331">
        <f>+IF(SUM($F116:BH116)&gt;=BI181*$F$5,0,BI116)</f>
        <v>0</v>
      </c>
      <c r="BJ50" s="331">
        <f>+IF(SUM($F116:BI116)&gt;=BJ181*$F$5,0,BJ116)</f>
        <v>0</v>
      </c>
      <c r="BK50" s="331">
        <f>+IF(SUM($F116:BJ116)&gt;=BK181*$F$5,0,BK116)</f>
        <v>0</v>
      </c>
      <c r="BL50" s="331">
        <f>+IF(SUM($F116:BK116)&gt;=BL181*$F$5,0,BL116)</f>
        <v>0</v>
      </c>
      <c r="BM50" s="331">
        <f>+IF(SUM($F116:BL116)&gt;=BM181*$F$5,0,BM116)</f>
        <v>0</v>
      </c>
    </row>
    <row r="51" spans="5:65" ht="15.75">
      <c r="E51" s="416">
        <f t="shared" si="12"/>
        <v>44644</v>
      </c>
      <c r="F51" s="331">
        <f t="shared" si="11"/>
        <v>0</v>
      </c>
      <c r="G51" s="331">
        <f>+IF(SUM($F117:F117)&gt;=G182*$F$5,0,G117)</f>
        <v>0</v>
      </c>
      <c r="H51" s="331">
        <f>+IF(SUM($F117:G117)&gt;=H182*$F$5,0,H117)</f>
        <v>0</v>
      </c>
      <c r="I51" s="331">
        <f>+IF(SUM($F117:H117)&gt;=I182*$F$5,0,I117)</f>
        <v>0</v>
      </c>
      <c r="J51" s="331">
        <f>+IF(SUM($F117:I117)&gt;=J182*$F$5,0,J117)</f>
        <v>0</v>
      </c>
      <c r="K51" s="331">
        <f>+IF(SUM($F117:J117)&gt;=K182*$F$5,0,K117)</f>
        <v>0</v>
      </c>
      <c r="L51" s="331">
        <f>+IF(SUM($F117:K117)&gt;=L182*$F$5,0,L117)</f>
        <v>0</v>
      </c>
      <c r="M51" s="331">
        <f>+IF(SUM($F117:L117)&gt;=M182*$F$5,0,M117)</f>
        <v>0</v>
      </c>
      <c r="N51" s="331">
        <f>+IF(SUM($F117:M117)&gt;=N182*$F$5,0,N117)</f>
        <v>0</v>
      </c>
      <c r="O51" s="331">
        <f>+IF(SUM($F117:N117)&gt;=O182*$F$5,0,O117)</f>
        <v>0</v>
      </c>
      <c r="P51" s="331">
        <f>+IF(SUM($F117:O117)&gt;=P182*$F$5,0,P117)</f>
        <v>0</v>
      </c>
      <c r="Q51" s="331">
        <f>+IF(SUM($F117:P117)&gt;=Q182*$F$5,0,Q117)</f>
        <v>0</v>
      </c>
      <c r="R51" s="331">
        <f>+IF(SUM($F117:Q117)&gt;=R182*$F$5,0,R117)</f>
        <v>0</v>
      </c>
      <c r="S51" s="331">
        <f>+IF(SUM($F117:R117)&gt;=S182*$F$5,0,S117)</f>
        <v>0</v>
      </c>
      <c r="T51" s="331">
        <f>+IF(SUM($F117:S117)&gt;=T182*$F$5,0,T117)</f>
        <v>0</v>
      </c>
      <c r="U51" s="331">
        <f>+IF(SUM($F117:T117)&gt;=U182*$F$5,0,U117)</f>
        <v>0</v>
      </c>
      <c r="V51" s="331">
        <f>+IF(SUM($F117:U117)&gt;=V182*$F$5,0,V117)</f>
        <v>0</v>
      </c>
      <c r="W51" s="331">
        <f>+IF(SUM($F117:V117)&gt;=W182*$F$5,0,W117)</f>
        <v>0</v>
      </c>
      <c r="X51" s="331">
        <f>+IF(SUM($F117:W117)&gt;=X182*$F$5,0,X117)</f>
        <v>0</v>
      </c>
      <c r="Y51" s="331">
        <f>+IF(SUM($F117:X117)&gt;=Y182*$F$5,0,Y117)</f>
        <v>0</v>
      </c>
      <c r="Z51" s="331">
        <f>+IF(SUM($F117:Y117)&gt;=Z182*$F$5,0,Z117)</f>
        <v>0</v>
      </c>
      <c r="AA51" s="331">
        <f>+IF(SUM($F117:Z117)&gt;=AA182*$F$5,0,AA117)</f>
        <v>0</v>
      </c>
      <c r="AB51" s="331">
        <f>+IF(SUM($F117:AA117)&gt;=AB182*$F$5,0,AB117)</f>
        <v>0</v>
      </c>
      <c r="AC51" s="331">
        <f>+IF(SUM($F117:AB117)&gt;=AC182*$F$5,0,AC117)</f>
        <v>0</v>
      </c>
      <c r="AD51" s="331">
        <f>+IF(SUM($F117:AC117)&gt;=AD182*$F$5,0,AD117)</f>
        <v>0</v>
      </c>
      <c r="AE51" s="331">
        <f>+IF(SUM($F117:AD117)&gt;=AE182*$F$5,0,AE117)</f>
        <v>0</v>
      </c>
      <c r="AF51" s="331">
        <f>+IF(SUM($F117:AE117)&gt;=AF182*$F$5,0,AF117)</f>
        <v>0</v>
      </c>
      <c r="AG51" s="331">
        <f>+IF(SUM($F117:AF117)&gt;=AG182*$F$5,0,AG117)</f>
        <v>0</v>
      </c>
      <c r="AH51" s="331">
        <f>+IF(SUM($F117:AG117)&gt;=AH182*$F$5,0,AH117)</f>
        <v>0</v>
      </c>
      <c r="AI51" s="331">
        <f>+IF(SUM($F117:AH117)&gt;=AI182*$F$5,0,AI117)</f>
        <v>0</v>
      </c>
      <c r="AJ51" s="331">
        <f>+IF(SUM($F117:AI117)&gt;=AJ182*$F$5,0,AJ117)</f>
        <v>0</v>
      </c>
      <c r="AK51" s="331">
        <f>+IF(SUM($F117:AJ117)&gt;=AK182*$F$5,0,AK117)</f>
        <v>0</v>
      </c>
      <c r="AL51" s="331">
        <f>+IF(SUM($F117:AK117)&gt;=AL182*$F$5,0,AL117)</f>
        <v>0</v>
      </c>
      <c r="AM51" s="331">
        <f>+IF(SUM($F117:AL117)&gt;=AM182*$F$5,0,AM117)</f>
        <v>0</v>
      </c>
      <c r="AN51" s="331">
        <f>+IF(SUM($F117:AM117)&gt;=AN182*$F$5,0,AN117)</f>
        <v>0</v>
      </c>
      <c r="AO51" s="331">
        <f>+IF(SUM($F117:AN117)&gt;=AO182*$F$5,0,AO117)</f>
        <v>0</v>
      </c>
      <c r="AP51" s="331">
        <f>+IF(SUM($F117:AO117)&gt;=AP182*$F$5,0,AP117)</f>
        <v>0</v>
      </c>
      <c r="AQ51" s="331">
        <f>+IF(SUM($F117:AP117)&gt;=AQ182*$F$5,0,AQ117)</f>
        <v>0</v>
      </c>
      <c r="AR51" s="331">
        <f>+IF(SUM($F117:AQ117)&gt;=AR182*$F$5,0,AR117)</f>
        <v>0</v>
      </c>
      <c r="AS51" s="331">
        <f>+IF(SUM($F117:AR117)&gt;=AS182*$F$5,0,AS117)</f>
        <v>0</v>
      </c>
      <c r="AT51" s="331">
        <f>+IF(SUM($F117:AS117)&gt;=AT182*$F$5,0,AT117)</f>
        <v>0</v>
      </c>
      <c r="AU51" s="331">
        <f>+IF(SUM($F117:AT117)&gt;=AU182*$F$5,0,AU117)</f>
        <v>0</v>
      </c>
      <c r="AV51" s="331">
        <f>+IF(SUM($F117:AU117)&gt;=AV182*$F$5,0,AV117)</f>
        <v>0</v>
      </c>
      <c r="AW51" s="331">
        <f>+IF(SUM($F117:AV117)&gt;=AW182*$F$5,0,AW117)</f>
        <v>0</v>
      </c>
      <c r="AX51" s="331">
        <f>+IF(SUM($F117:AW117)&gt;=AX182*$F$5,0,AX117)</f>
        <v>0</v>
      </c>
      <c r="AY51" s="331">
        <f>+IF(SUM($F117:AX117)&gt;=AY182*$F$5,0,AY117)</f>
        <v>0</v>
      </c>
      <c r="AZ51" s="331">
        <f>+IF(SUM($F117:AY117)&gt;=AZ182*$F$5,0,AZ117)</f>
        <v>0</v>
      </c>
      <c r="BA51" s="331">
        <f>+IF(SUM($F117:AZ117)&gt;=BA182*$F$5,0,BA117)</f>
        <v>0</v>
      </c>
      <c r="BB51" s="331">
        <f>+IF(SUM($F117:BA117)&gt;=BB182*$F$5,0,BB117)</f>
        <v>0</v>
      </c>
      <c r="BC51" s="331">
        <f>+IF(SUM($F117:BB117)&gt;=BC182*$F$5,0,BC117)</f>
        <v>0</v>
      </c>
      <c r="BD51" s="331">
        <f>+IF(SUM($F117:BC117)&gt;=BD182*$F$5,0,BD117)</f>
        <v>0</v>
      </c>
      <c r="BE51" s="331">
        <f>+IF(SUM($F117:BD117)&gt;=BE182*$F$5,0,BE117)</f>
        <v>0</v>
      </c>
      <c r="BF51" s="331">
        <f>+IF(SUM($F117:BE117)&gt;=BF182*$F$5,0,BF117)</f>
        <v>0</v>
      </c>
      <c r="BG51" s="331">
        <f>+IF(SUM($F117:BF117)&gt;=BG182*$F$5,0,BG117)</f>
        <v>0</v>
      </c>
      <c r="BH51" s="331">
        <f>+IF(SUM($F117:BG117)&gt;=BH182*$F$5,0,BH117)</f>
        <v>0</v>
      </c>
      <c r="BI51" s="331">
        <f>+IF(SUM($F117:BH117)&gt;=BI182*$F$5,0,BI117)</f>
        <v>0</v>
      </c>
      <c r="BJ51" s="331">
        <f>+IF(SUM($F117:BI117)&gt;=BJ182*$F$5,0,BJ117)</f>
        <v>0</v>
      </c>
      <c r="BK51" s="331">
        <f>+IF(SUM($F117:BJ117)&gt;=BK182*$F$5,0,BK117)</f>
        <v>0</v>
      </c>
      <c r="BL51" s="331">
        <f>+IF(SUM($F117:BK117)&gt;=BL182*$F$5,0,BL117)</f>
        <v>0</v>
      </c>
      <c r="BM51" s="331">
        <f>+IF(SUM($F117:BL117)&gt;=BM182*$F$5,0,BM117)</f>
        <v>0</v>
      </c>
    </row>
    <row r="52" spans="5:65" ht="15.75">
      <c r="E52" s="416">
        <f t="shared" si="12"/>
        <v>44675</v>
      </c>
      <c r="F52" s="331">
        <f t="shared" si="11"/>
        <v>0</v>
      </c>
      <c r="G52" s="331">
        <f>+IF(SUM($F118:F118)&gt;=G183*$F$5,0,G118)</f>
        <v>0</v>
      </c>
      <c r="H52" s="331">
        <f>+IF(SUM($F118:G118)&gt;=H183*$F$5,0,H118)</f>
        <v>0</v>
      </c>
      <c r="I52" s="331">
        <f>+IF(SUM($F118:H118)&gt;=I183*$F$5,0,I118)</f>
        <v>0</v>
      </c>
      <c r="J52" s="331">
        <f>+IF(SUM($F118:I118)&gt;=J183*$F$5,0,J118)</f>
        <v>0</v>
      </c>
      <c r="K52" s="331">
        <f>+IF(SUM($F118:J118)&gt;=K183*$F$5,0,K118)</f>
        <v>0</v>
      </c>
      <c r="L52" s="331">
        <f>+IF(SUM($F118:K118)&gt;=L183*$F$5,0,L118)</f>
        <v>0</v>
      </c>
      <c r="M52" s="331">
        <f>+IF(SUM($F118:L118)&gt;=M183*$F$5,0,M118)</f>
        <v>0</v>
      </c>
      <c r="N52" s="331">
        <f>+IF(SUM($F118:M118)&gt;=N183*$F$5,0,N118)</f>
        <v>0</v>
      </c>
      <c r="O52" s="331">
        <f>+IF(SUM($F118:N118)&gt;=O183*$F$5,0,O118)</f>
        <v>0</v>
      </c>
      <c r="P52" s="331">
        <f>+IF(SUM($F118:O118)&gt;=P183*$F$5,0,P118)</f>
        <v>0</v>
      </c>
      <c r="Q52" s="331">
        <f>+IF(SUM($F118:P118)&gt;=Q183*$F$5,0,Q118)</f>
        <v>0</v>
      </c>
      <c r="R52" s="331">
        <f>+IF(SUM($F118:Q118)&gt;=R183*$F$5,0,R118)</f>
        <v>0</v>
      </c>
      <c r="S52" s="331">
        <f>+IF(SUM($F118:R118)&gt;=S183*$F$5,0,S118)</f>
        <v>0</v>
      </c>
      <c r="T52" s="331">
        <f>+IF(SUM($F118:S118)&gt;=T183*$F$5,0,T118)</f>
        <v>0</v>
      </c>
      <c r="U52" s="331">
        <f>+IF(SUM($F118:T118)&gt;=U183*$F$5,0,U118)</f>
        <v>0</v>
      </c>
      <c r="V52" s="331">
        <f>+IF(SUM($F118:U118)&gt;=V183*$F$5,0,V118)</f>
        <v>0</v>
      </c>
      <c r="W52" s="331">
        <f>+IF(SUM($F118:V118)&gt;=W183*$F$5,0,W118)</f>
        <v>0</v>
      </c>
      <c r="X52" s="331">
        <f>+IF(SUM($F118:W118)&gt;=X183*$F$5,0,X118)</f>
        <v>0</v>
      </c>
      <c r="Y52" s="331">
        <f>+IF(SUM($F118:X118)&gt;=Y183*$F$5,0,Y118)</f>
        <v>0</v>
      </c>
      <c r="Z52" s="331">
        <f>+IF(SUM($F118:Y118)&gt;=Z183*$F$5,0,Z118)</f>
        <v>0</v>
      </c>
      <c r="AA52" s="331">
        <f>+IF(SUM($F118:Z118)&gt;=AA183*$F$5,0,AA118)</f>
        <v>0</v>
      </c>
      <c r="AB52" s="331">
        <f>+IF(SUM($F118:AA118)&gt;=AB183*$F$5,0,AB118)</f>
        <v>0</v>
      </c>
      <c r="AC52" s="331">
        <f>+IF(SUM($F118:AB118)&gt;=AC183*$F$5,0,AC118)</f>
        <v>0</v>
      </c>
      <c r="AD52" s="331">
        <f>+IF(SUM($F118:AC118)&gt;=AD183*$F$5,0,AD118)</f>
        <v>0</v>
      </c>
      <c r="AE52" s="331">
        <f>+IF(SUM($F118:AD118)&gt;=AE183*$F$5,0,AE118)</f>
        <v>0</v>
      </c>
      <c r="AF52" s="331">
        <f>+IF(SUM($F118:AE118)&gt;=AF183*$F$5,0,AF118)</f>
        <v>0</v>
      </c>
      <c r="AG52" s="331">
        <f>+IF(SUM($F118:AF118)&gt;=AG183*$F$5,0,AG118)</f>
        <v>0</v>
      </c>
      <c r="AH52" s="331">
        <f>+IF(SUM($F118:AG118)&gt;=AH183*$F$5,0,AH118)</f>
        <v>0</v>
      </c>
      <c r="AI52" s="331">
        <f>+IF(SUM($F118:AH118)&gt;=AI183*$F$5,0,AI118)</f>
        <v>0</v>
      </c>
      <c r="AJ52" s="331">
        <f>+IF(SUM($F118:AI118)&gt;=AJ183*$F$5,0,AJ118)</f>
        <v>0</v>
      </c>
      <c r="AK52" s="331">
        <f>+IF(SUM($F118:AJ118)&gt;=AK183*$F$5,0,AK118)</f>
        <v>0</v>
      </c>
      <c r="AL52" s="331">
        <f>+IF(SUM($F118:AK118)&gt;=AL183*$F$5,0,AL118)</f>
        <v>0</v>
      </c>
      <c r="AM52" s="331">
        <f>+IF(SUM($F118:AL118)&gt;=AM183*$F$5,0,AM118)</f>
        <v>0</v>
      </c>
      <c r="AN52" s="331">
        <f>+IF(SUM($F118:AM118)&gt;=AN183*$F$5,0,AN118)</f>
        <v>0</v>
      </c>
      <c r="AO52" s="331">
        <f>+IF(SUM($F118:AN118)&gt;=AO183*$F$5,0,AO118)</f>
        <v>0</v>
      </c>
      <c r="AP52" s="331">
        <f>+IF(SUM($F118:AO118)&gt;=AP183*$F$5,0,AP118)</f>
        <v>0</v>
      </c>
      <c r="AQ52" s="331">
        <f>+IF(SUM($F118:AP118)&gt;=AQ183*$F$5,0,AQ118)</f>
        <v>0</v>
      </c>
      <c r="AR52" s="331">
        <f>+IF(SUM($F118:AQ118)&gt;=AR183*$F$5,0,AR118)</f>
        <v>0</v>
      </c>
      <c r="AS52" s="331">
        <f>+IF(SUM($F118:AR118)&gt;=AS183*$F$5,0,AS118)</f>
        <v>0</v>
      </c>
      <c r="AT52" s="331">
        <f>+IF(SUM($F118:AS118)&gt;=AT183*$F$5,0,AT118)</f>
        <v>0</v>
      </c>
      <c r="AU52" s="331">
        <f>+IF(SUM($F118:AT118)&gt;=AU183*$F$5,0,AU118)</f>
        <v>0</v>
      </c>
      <c r="AV52" s="331">
        <f>+IF(SUM($F118:AU118)&gt;=AV183*$F$5,0,AV118)</f>
        <v>0</v>
      </c>
      <c r="AW52" s="331">
        <f>+IF(SUM($F118:AV118)&gt;=AW183*$F$5,0,AW118)</f>
        <v>0</v>
      </c>
      <c r="AX52" s="331">
        <f>+IF(SUM($F118:AW118)&gt;=AX183*$F$5,0,AX118)</f>
        <v>0</v>
      </c>
      <c r="AY52" s="331">
        <f>+IF(SUM($F118:AX118)&gt;=AY183*$F$5,0,AY118)</f>
        <v>0</v>
      </c>
      <c r="AZ52" s="331">
        <f>+IF(SUM($F118:AY118)&gt;=AZ183*$F$5,0,AZ118)</f>
        <v>0</v>
      </c>
      <c r="BA52" s="331">
        <f>+IF(SUM($F118:AZ118)&gt;=BA183*$F$5,0,BA118)</f>
        <v>0</v>
      </c>
      <c r="BB52" s="331">
        <f>+IF(SUM($F118:BA118)&gt;=BB183*$F$5,0,BB118)</f>
        <v>0</v>
      </c>
      <c r="BC52" s="331">
        <f>+IF(SUM($F118:BB118)&gt;=BC183*$F$5,0,BC118)</f>
        <v>0</v>
      </c>
      <c r="BD52" s="331">
        <f>+IF(SUM($F118:BC118)&gt;=BD183*$F$5,0,BD118)</f>
        <v>0</v>
      </c>
      <c r="BE52" s="331">
        <f>+IF(SUM($F118:BD118)&gt;=BE183*$F$5,0,BE118)</f>
        <v>0</v>
      </c>
      <c r="BF52" s="331">
        <f>+IF(SUM($F118:BE118)&gt;=BF183*$F$5,0,BF118)</f>
        <v>0</v>
      </c>
      <c r="BG52" s="331">
        <f>+IF(SUM($F118:BF118)&gt;=BG183*$F$5,0,BG118)</f>
        <v>0</v>
      </c>
      <c r="BH52" s="331">
        <f>+IF(SUM($F118:BG118)&gt;=BH183*$F$5,0,BH118)</f>
        <v>0</v>
      </c>
      <c r="BI52" s="331">
        <f>+IF(SUM($F118:BH118)&gt;=BI183*$F$5,0,BI118)</f>
        <v>0</v>
      </c>
      <c r="BJ52" s="331">
        <f>+IF(SUM($F118:BI118)&gt;=BJ183*$F$5,0,BJ118)</f>
        <v>0</v>
      </c>
      <c r="BK52" s="331">
        <f>+IF(SUM($F118:BJ118)&gt;=BK183*$F$5,0,BK118)</f>
        <v>0</v>
      </c>
      <c r="BL52" s="331">
        <f>+IF(SUM($F118:BK118)&gt;=BL183*$F$5,0,BL118)</f>
        <v>0</v>
      </c>
      <c r="BM52" s="331">
        <f>+IF(SUM($F118:BL118)&gt;=BM183*$F$5,0,BM118)</f>
        <v>0</v>
      </c>
    </row>
    <row r="53" spans="5:65" ht="15.75">
      <c r="E53" s="416">
        <f t="shared" si="12"/>
        <v>44706</v>
      </c>
      <c r="F53" s="331">
        <f t="shared" si="11"/>
        <v>0</v>
      </c>
      <c r="G53" s="331">
        <f>+IF(SUM($F119:F119)&gt;=G184*$F$5,0,G119)</f>
        <v>0</v>
      </c>
      <c r="H53" s="331">
        <f>+IF(SUM($F119:G119)&gt;=H184*$F$5,0,H119)</f>
        <v>0</v>
      </c>
      <c r="I53" s="331">
        <f>+IF(SUM($F119:H119)&gt;=I184*$F$5,0,I119)</f>
        <v>0</v>
      </c>
      <c r="J53" s="331">
        <f>+IF(SUM($F119:I119)&gt;=J184*$F$5,0,J119)</f>
        <v>0</v>
      </c>
      <c r="K53" s="331">
        <f>+IF(SUM($F119:J119)&gt;=K184*$F$5,0,K119)</f>
        <v>0</v>
      </c>
      <c r="L53" s="331">
        <f>+IF(SUM($F119:K119)&gt;=L184*$F$5,0,L119)</f>
        <v>0</v>
      </c>
      <c r="M53" s="331">
        <f>+IF(SUM($F119:L119)&gt;=M184*$F$5,0,M119)</f>
        <v>0</v>
      </c>
      <c r="N53" s="331">
        <f>+IF(SUM($F119:M119)&gt;=N184*$F$5,0,N119)</f>
        <v>0</v>
      </c>
      <c r="O53" s="331">
        <f>+IF(SUM($F119:N119)&gt;=O184*$F$5,0,O119)</f>
        <v>0</v>
      </c>
      <c r="P53" s="331">
        <f>+IF(SUM($F119:O119)&gt;=P184*$F$5,0,P119)</f>
        <v>0</v>
      </c>
      <c r="Q53" s="331">
        <f>+IF(SUM($F119:P119)&gt;=Q184*$F$5,0,Q119)</f>
        <v>0</v>
      </c>
      <c r="R53" s="331">
        <f>+IF(SUM($F119:Q119)&gt;=R184*$F$5,0,R119)</f>
        <v>0</v>
      </c>
      <c r="S53" s="331">
        <f>+IF(SUM($F119:R119)&gt;=S184*$F$5,0,S119)</f>
        <v>0</v>
      </c>
      <c r="T53" s="331">
        <f>+IF(SUM($F119:S119)&gt;=T184*$F$5,0,T119)</f>
        <v>0</v>
      </c>
      <c r="U53" s="331">
        <f>+IF(SUM($F119:T119)&gt;=U184*$F$5,0,U119)</f>
        <v>0</v>
      </c>
      <c r="V53" s="331">
        <f>+IF(SUM($F119:U119)&gt;=V184*$F$5,0,V119)</f>
        <v>0</v>
      </c>
      <c r="W53" s="331">
        <f>+IF(SUM($F119:V119)&gt;=W184*$F$5,0,W119)</f>
        <v>0</v>
      </c>
      <c r="X53" s="331">
        <f>+IF(SUM($F119:W119)&gt;=X184*$F$5,0,X119)</f>
        <v>0</v>
      </c>
      <c r="Y53" s="331">
        <f>+IF(SUM($F119:X119)&gt;=Y184*$F$5,0,Y119)</f>
        <v>0</v>
      </c>
      <c r="Z53" s="331">
        <f>+IF(SUM($F119:Y119)&gt;=Z184*$F$5,0,Z119)</f>
        <v>0</v>
      </c>
      <c r="AA53" s="331">
        <f>+IF(SUM($F119:Z119)&gt;=AA184*$F$5,0,AA119)</f>
        <v>0</v>
      </c>
      <c r="AB53" s="331">
        <f>+IF(SUM($F119:AA119)&gt;=AB184*$F$5,0,AB119)</f>
        <v>0</v>
      </c>
      <c r="AC53" s="331">
        <f>+IF(SUM($F119:AB119)&gt;=AC184*$F$5,0,AC119)</f>
        <v>0</v>
      </c>
      <c r="AD53" s="331">
        <f>+IF(SUM($F119:AC119)&gt;=AD184*$F$5,0,AD119)</f>
        <v>0</v>
      </c>
      <c r="AE53" s="331">
        <f>+IF(SUM($F119:AD119)&gt;=AE184*$F$5,0,AE119)</f>
        <v>0</v>
      </c>
      <c r="AF53" s="331">
        <f>+IF(SUM($F119:AE119)&gt;=AF184*$F$5,0,AF119)</f>
        <v>0</v>
      </c>
      <c r="AG53" s="331">
        <f>+IF(SUM($F119:AF119)&gt;=AG184*$F$5,0,AG119)</f>
        <v>0</v>
      </c>
      <c r="AH53" s="331">
        <f>+IF(SUM($F119:AG119)&gt;=AH184*$F$5,0,AH119)</f>
        <v>0</v>
      </c>
      <c r="AI53" s="331">
        <f>+IF(SUM($F119:AH119)&gt;=AI184*$F$5,0,AI119)</f>
        <v>0</v>
      </c>
      <c r="AJ53" s="331">
        <f>+IF(SUM($F119:AI119)&gt;=AJ184*$F$5,0,AJ119)</f>
        <v>0</v>
      </c>
      <c r="AK53" s="331">
        <f>+IF(SUM($F119:AJ119)&gt;=AK184*$F$5,0,AK119)</f>
        <v>0</v>
      </c>
      <c r="AL53" s="331">
        <f>+IF(SUM($F119:AK119)&gt;=AL184*$F$5,0,AL119)</f>
        <v>0</v>
      </c>
      <c r="AM53" s="331">
        <f>+IF(SUM($F119:AL119)&gt;=AM184*$F$5,0,AM119)</f>
        <v>0</v>
      </c>
      <c r="AN53" s="331">
        <f>+IF(SUM($F119:AM119)&gt;=AN184*$F$5,0,AN119)</f>
        <v>0</v>
      </c>
      <c r="AO53" s="331">
        <f>+IF(SUM($F119:AN119)&gt;=AO184*$F$5,0,AO119)</f>
        <v>0</v>
      </c>
      <c r="AP53" s="331">
        <f>+IF(SUM($F119:AO119)&gt;=AP184*$F$5,0,AP119)</f>
        <v>0</v>
      </c>
      <c r="AQ53" s="331">
        <f>+IF(SUM($F119:AP119)&gt;=AQ184*$F$5,0,AQ119)</f>
        <v>0</v>
      </c>
      <c r="AR53" s="331">
        <f>+IF(SUM($F119:AQ119)&gt;=AR184*$F$5,0,AR119)</f>
        <v>0</v>
      </c>
      <c r="AS53" s="331">
        <f>+IF(SUM($F119:AR119)&gt;=AS184*$F$5,0,AS119)</f>
        <v>0</v>
      </c>
      <c r="AT53" s="331">
        <f>+IF(SUM($F119:AS119)&gt;=AT184*$F$5,0,AT119)</f>
        <v>0</v>
      </c>
      <c r="AU53" s="331">
        <f>+IF(SUM($F119:AT119)&gt;=AU184*$F$5,0,AU119)</f>
        <v>0</v>
      </c>
      <c r="AV53" s="331">
        <f>+IF(SUM($F119:AU119)&gt;=AV184*$F$5,0,AV119)</f>
        <v>0</v>
      </c>
      <c r="AW53" s="331">
        <f>+IF(SUM($F119:AV119)&gt;=AW184*$F$5,0,AW119)</f>
        <v>0</v>
      </c>
      <c r="AX53" s="331">
        <f>+IF(SUM($F119:AW119)&gt;=AX184*$F$5,0,AX119)</f>
        <v>0</v>
      </c>
      <c r="AY53" s="331">
        <f>+IF(SUM($F119:AX119)&gt;=AY184*$F$5,0,AY119)</f>
        <v>0</v>
      </c>
      <c r="AZ53" s="331">
        <f>+IF(SUM($F119:AY119)&gt;=AZ184*$F$5,0,AZ119)</f>
        <v>0</v>
      </c>
      <c r="BA53" s="331">
        <f>+IF(SUM($F119:AZ119)&gt;=BA184*$F$5,0,BA119)</f>
        <v>0</v>
      </c>
      <c r="BB53" s="331">
        <f>+IF(SUM($F119:BA119)&gt;=BB184*$F$5,0,BB119)</f>
        <v>0</v>
      </c>
      <c r="BC53" s="331">
        <f>+IF(SUM($F119:BB119)&gt;=BC184*$F$5,0,BC119)</f>
        <v>0</v>
      </c>
      <c r="BD53" s="331">
        <f>+IF(SUM($F119:BC119)&gt;=BD184*$F$5,0,BD119)</f>
        <v>0</v>
      </c>
      <c r="BE53" s="331">
        <f>+IF(SUM($F119:BD119)&gt;=BE184*$F$5,0,BE119)</f>
        <v>0</v>
      </c>
      <c r="BF53" s="331">
        <f>+IF(SUM($F119:BE119)&gt;=BF184*$F$5,0,BF119)</f>
        <v>0</v>
      </c>
      <c r="BG53" s="331">
        <f>+IF(SUM($F119:BF119)&gt;=BG184*$F$5,0,BG119)</f>
        <v>0</v>
      </c>
      <c r="BH53" s="331">
        <f>+IF(SUM($F119:BG119)&gt;=BH184*$F$5,0,BH119)</f>
        <v>0</v>
      </c>
      <c r="BI53" s="331">
        <f>+IF(SUM($F119:BH119)&gt;=BI184*$F$5,0,BI119)</f>
        <v>0</v>
      </c>
      <c r="BJ53" s="331">
        <f>+IF(SUM($F119:BI119)&gt;=BJ184*$F$5,0,BJ119)</f>
        <v>0</v>
      </c>
      <c r="BK53" s="331">
        <f>+IF(SUM($F119:BJ119)&gt;=BK184*$F$5,0,BK119)</f>
        <v>0</v>
      </c>
      <c r="BL53" s="331">
        <f>+IF(SUM($F119:BK119)&gt;=BL184*$F$5,0,BL119)</f>
        <v>0</v>
      </c>
      <c r="BM53" s="331">
        <f>+IF(SUM($F119:BL119)&gt;=BM184*$F$5,0,BM119)</f>
        <v>0</v>
      </c>
    </row>
    <row r="54" spans="5:65" ht="15.75">
      <c r="E54" s="416">
        <f t="shared" si="12"/>
        <v>44737</v>
      </c>
      <c r="F54" s="331">
        <f t="shared" si="11"/>
        <v>0</v>
      </c>
      <c r="G54" s="331">
        <f>+IF(SUM($F120:F120)&gt;=G185*$F$5,0,G120)</f>
        <v>0</v>
      </c>
      <c r="H54" s="331">
        <f>+IF(SUM($F120:G120)&gt;=H185*$F$5,0,H120)</f>
        <v>0</v>
      </c>
      <c r="I54" s="331">
        <f>+IF(SUM($F120:H120)&gt;=I185*$F$5,0,I120)</f>
        <v>0</v>
      </c>
      <c r="J54" s="331">
        <f>+IF(SUM($F120:I120)&gt;=J185*$F$5,0,J120)</f>
        <v>0</v>
      </c>
      <c r="K54" s="331">
        <f>+IF(SUM($F120:J120)&gt;=K185*$F$5,0,K120)</f>
        <v>0</v>
      </c>
      <c r="L54" s="331">
        <f>+IF(SUM($F120:K120)&gt;=L185*$F$5,0,L120)</f>
        <v>0</v>
      </c>
      <c r="M54" s="331">
        <f>+IF(SUM($F120:L120)&gt;=M185*$F$5,0,M120)</f>
        <v>0</v>
      </c>
      <c r="N54" s="331">
        <f>+IF(SUM($F120:M120)&gt;=N185*$F$5,0,N120)</f>
        <v>0</v>
      </c>
      <c r="O54" s="331">
        <f>+IF(SUM($F120:N120)&gt;=O185*$F$5,0,O120)</f>
        <v>0</v>
      </c>
      <c r="P54" s="331">
        <f>+IF(SUM($F120:O120)&gt;=P185*$F$5,0,P120)</f>
        <v>0</v>
      </c>
      <c r="Q54" s="331">
        <f>+IF(SUM($F120:P120)&gt;=Q185*$F$5,0,Q120)</f>
        <v>0</v>
      </c>
      <c r="R54" s="331">
        <f>+IF(SUM($F120:Q120)&gt;=R185*$F$5,0,R120)</f>
        <v>0</v>
      </c>
      <c r="S54" s="331">
        <f>+IF(SUM($F120:R120)&gt;=S185*$F$5,0,S120)</f>
        <v>0</v>
      </c>
      <c r="T54" s="331">
        <f>+IF(SUM($F120:S120)&gt;=T185*$F$5,0,T120)</f>
        <v>0</v>
      </c>
      <c r="U54" s="331">
        <f>+IF(SUM($F120:T120)&gt;=U185*$F$5,0,U120)</f>
        <v>0</v>
      </c>
      <c r="V54" s="331">
        <f>+IF(SUM($F120:U120)&gt;=V185*$F$5,0,V120)</f>
        <v>0</v>
      </c>
      <c r="W54" s="331">
        <f>+IF(SUM($F120:V120)&gt;=W185*$F$5,0,W120)</f>
        <v>0</v>
      </c>
      <c r="X54" s="331">
        <f>+IF(SUM($F120:W120)&gt;=X185*$F$5,0,X120)</f>
        <v>0</v>
      </c>
      <c r="Y54" s="331">
        <f>+IF(SUM($F120:X120)&gt;=Y185*$F$5,0,Y120)</f>
        <v>0</v>
      </c>
      <c r="Z54" s="331">
        <f>+IF(SUM($F120:Y120)&gt;=Z185*$F$5,0,Z120)</f>
        <v>0</v>
      </c>
      <c r="AA54" s="331">
        <f>+IF(SUM($F120:Z120)&gt;=AA185*$F$5,0,AA120)</f>
        <v>0</v>
      </c>
      <c r="AB54" s="331">
        <f>+IF(SUM($F120:AA120)&gt;=AB185*$F$5,0,AB120)</f>
        <v>0</v>
      </c>
      <c r="AC54" s="331">
        <f>+IF(SUM($F120:AB120)&gt;=AC185*$F$5,0,AC120)</f>
        <v>0</v>
      </c>
      <c r="AD54" s="331">
        <f>+IF(SUM($F120:AC120)&gt;=AD185*$F$5,0,AD120)</f>
        <v>0</v>
      </c>
      <c r="AE54" s="331">
        <f>+IF(SUM($F120:AD120)&gt;=AE185*$F$5,0,AE120)</f>
        <v>0</v>
      </c>
      <c r="AF54" s="331">
        <f>+IF(SUM($F120:AE120)&gt;=AF185*$F$5,0,AF120)</f>
        <v>0</v>
      </c>
      <c r="AG54" s="331">
        <f>+IF(SUM($F120:AF120)&gt;=AG185*$F$5,0,AG120)</f>
        <v>0</v>
      </c>
      <c r="AH54" s="331">
        <f>+IF(SUM($F120:AG120)&gt;=AH185*$F$5,0,AH120)</f>
        <v>0</v>
      </c>
      <c r="AI54" s="331">
        <f>+IF(SUM($F120:AH120)&gt;=AI185*$F$5,0,AI120)</f>
        <v>0</v>
      </c>
      <c r="AJ54" s="331">
        <f>+IF(SUM($F120:AI120)&gt;=AJ185*$F$5,0,AJ120)</f>
        <v>0</v>
      </c>
      <c r="AK54" s="331">
        <f>+IF(SUM($F120:AJ120)&gt;=AK185*$F$5,0,AK120)</f>
        <v>0</v>
      </c>
      <c r="AL54" s="331">
        <f>+IF(SUM($F120:AK120)&gt;=AL185*$F$5,0,AL120)</f>
        <v>0</v>
      </c>
      <c r="AM54" s="331">
        <f>+IF(SUM($F120:AL120)&gt;=AM185*$F$5,0,AM120)</f>
        <v>0</v>
      </c>
      <c r="AN54" s="331">
        <f>+IF(SUM($F120:AM120)&gt;=AN185*$F$5,0,AN120)</f>
        <v>0</v>
      </c>
      <c r="AO54" s="331">
        <f>+IF(SUM($F120:AN120)&gt;=AO185*$F$5,0,AO120)</f>
        <v>0</v>
      </c>
      <c r="AP54" s="331">
        <f>+IF(SUM($F120:AO120)&gt;=AP185*$F$5,0,AP120)</f>
        <v>0</v>
      </c>
      <c r="AQ54" s="331">
        <f>+IF(SUM($F120:AP120)&gt;=AQ185*$F$5,0,AQ120)</f>
        <v>0</v>
      </c>
      <c r="AR54" s="331">
        <f>+IF(SUM($F120:AQ120)&gt;=AR185*$F$5,0,AR120)</f>
        <v>0</v>
      </c>
      <c r="AS54" s="331">
        <f>+IF(SUM($F120:AR120)&gt;=AS185*$F$5,0,AS120)</f>
        <v>0</v>
      </c>
      <c r="AT54" s="331">
        <f>+IF(SUM($F120:AS120)&gt;=AT185*$F$5,0,AT120)</f>
        <v>0</v>
      </c>
      <c r="AU54" s="331">
        <f>+IF(SUM($F120:AT120)&gt;=AU185*$F$5,0,AU120)</f>
        <v>0</v>
      </c>
      <c r="AV54" s="331">
        <f>+IF(SUM($F120:AU120)&gt;=AV185*$F$5,0,AV120)</f>
        <v>0</v>
      </c>
      <c r="AW54" s="331">
        <f>+IF(SUM($F120:AV120)&gt;=AW185*$F$5,0,AW120)</f>
        <v>0</v>
      </c>
      <c r="AX54" s="331">
        <f>+IF(SUM($F120:AW120)&gt;=AX185*$F$5,0,AX120)</f>
        <v>0</v>
      </c>
      <c r="AY54" s="331">
        <f>+IF(SUM($F120:AX120)&gt;=AY185*$F$5,0,AY120)</f>
        <v>0</v>
      </c>
      <c r="AZ54" s="331">
        <f>+IF(SUM($F120:AY120)&gt;=AZ185*$F$5,0,AZ120)</f>
        <v>0</v>
      </c>
      <c r="BA54" s="331">
        <f>+IF(SUM($F120:AZ120)&gt;=BA185*$F$5,0,BA120)</f>
        <v>0</v>
      </c>
      <c r="BB54" s="331">
        <f>+IF(SUM($F120:BA120)&gt;=BB185*$F$5,0,BB120)</f>
        <v>0</v>
      </c>
      <c r="BC54" s="331">
        <f>+IF(SUM($F120:BB120)&gt;=BC185*$F$5,0,BC120)</f>
        <v>0</v>
      </c>
      <c r="BD54" s="331">
        <f>+IF(SUM($F120:BC120)&gt;=BD185*$F$5,0,BD120)</f>
        <v>0</v>
      </c>
      <c r="BE54" s="331">
        <f>+IF(SUM($F120:BD120)&gt;=BE185*$F$5,0,BE120)</f>
        <v>0</v>
      </c>
      <c r="BF54" s="331">
        <f>+IF(SUM($F120:BE120)&gt;=BF185*$F$5,0,BF120)</f>
        <v>0</v>
      </c>
      <c r="BG54" s="331">
        <f>+IF(SUM($F120:BF120)&gt;=BG185*$F$5,0,BG120)</f>
        <v>0</v>
      </c>
      <c r="BH54" s="331">
        <f>+IF(SUM($F120:BG120)&gt;=BH185*$F$5,0,BH120)</f>
        <v>0</v>
      </c>
      <c r="BI54" s="331">
        <f>+IF(SUM($F120:BH120)&gt;=BI185*$F$5,0,BI120)</f>
        <v>0</v>
      </c>
      <c r="BJ54" s="331">
        <f>+IF(SUM($F120:BI120)&gt;=BJ185*$F$5,0,BJ120)</f>
        <v>0</v>
      </c>
      <c r="BK54" s="331">
        <f>+IF(SUM($F120:BJ120)&gt;=BK185*$F$5,0,BK120)</f>
        <v>0</v>
      </c>
      <c r="BL54" s="331">
        <f>+IF(SUM($F120:BK120)&gt;=BL185*$F$5,0,BL120)</f>
        <v>0</v>
      </c>
      <c r="BM54" s="331">
        <f>+IF(SUM($F120:BL120)&gt;=BM185*$F$5,0,BM120)</f>
        <v>0</v>
      </c>
    </row>
    <row r="55" spans="5:65" ht="15.75">
      <c r="E55" s="416">
        <f t="shared" si="12"/>
        <v>44768</v>
      </c>
      <c r="F55" s="331">
        <f t="shared" si="11"/>
        <v>0</v>
      </c>
      <c r="G55" s="331">
        <f>+IF(SUM($F121:F121)&gt;=G186*$F$5,0,G121)</f>
        <v>0</v>
      </c>
      <c r="H55" s="331">
        <f>+IF(SUM($F121:G121)&gt;=H186*$F$5,0,H121)</f>
        <v>0</v>
      </c>
      <c r="I55" s="331">
        <f>+IF(SUM($F121:H121)&gt;=I186*$F$5,0,I121)</f>
        <v>0</v>
      </c>
      <c r="J55" s="331">
        <f>+IF(SUM($F121:I121)&gt;=J186*$F$5,0,J121)</f>
        <v>0</v>
      </c>
      <c r="K55" s="331">
        <f>+IF(SUM($F121:J121)&gt;=K186*$F$5,0,K121)</f>
        <v>0</v>
      </c>
      <c r="L55" s="331">
        <f>+IF(SUM($F121:K121)&gt;=L186*$F$5,0,L121)</f>
        <v>0</v>
      </c>
      <c r="M55" s="331">
        <f>+IF(SUM($F121:L121)&gt;=M186*$F$5,0,M121)</f>
        <v>0</v>
      </c>
      <c r="N55" s="331">
        <f>+IF(SUM($F121:M121)&gt;=N186*$F$5,0,N121)</f>
        <v>0</v>
      </c>
      <c r="O55" s="331">
        <f>+IF(SUM($F121:N121)&gt;=O186*$F$5,0,O121)</f>
        <v>0</v>
      </c>
      <c r="P55" s="331">
        <f>+IF(SUM($F121:O121)&gt;=P186*$F$5,0,P121)</f>
        <v>0</v>
      </c>
      <c r="Q55" s="331">
        <f>+IF(SUM($F121:P121)&gt;=Q186*$F$5,0,Q121)</f>
        <v>0</v>
      </c>
      <c r="R55" s="331">
        <f>+IF(SUM($F121:Q121)&gt;=R186*$F$5,0,R121)</f>
        <v>0</v>
      </c>
      <c r="S55" s="331">
        <f>+IF(SUM($F121:R121)&gt;=S186*$F$5,0,S121)</f>
        <v>0</v>
      </c>
      <c r="T55" s="331">
        <f>+IF(SUM($F121:S121)&gt;=T186*$F$5,0,T121)</f>
        <v>0</v>
      </c>
      <c r="U55" s="331">
        <f>+IF(SUM($F121:T121)&gt;=U186*$F$5,0,U121)</f>
        <v>0</v>
      </c>
      <c r="V55" s="331">
        <f>+IF(SUM($F121:U121)&gt;=V186*$F$5,0,V121)</f>
        <v>0</v>
      </c>
      <c r="W55" s="331">
        <f>+IF(SUM($F121:V121)&gt;=W186*$F$5,0,W121)</f>
        <v>0</v>
      </c>
      <c r="X55" s="331">
        <f>+IF(SUM($F121:W121)&gt;=X186*$F$5,0,X121)</f>
        <v>0</v>
      </c>
      <c r="Y55" s="331">
        <f>+IF(SUM($F121:X121)&gt;=Y186*$F$5,0,Y121)</f>
        <v>0</v>
      </c>
      <c r="Z55" s="331">
        <f>+IF(SUM($F121:Y121)&gt;=Z186*$F$5,0,Z121)</f>
        <v>0</v>
      </c>
      <c r="AA55" s="331">
        <f>+IF(SUM($F121:Z121)&gt;=AA186*$F$5,0,AA121)</f>
        <v>0</v>
      </c>
      <c r="AB55" s="331">
        <f>+IF(SUM($F121:AA121)&gt;=AB186*$F$5,0,AB121)</f>
        <v>0</v>
      </c>
      <c r="AC55" s="331">
        <f>+IF(SUM($F121:AB121)&gt;=AC186*$F$5,0,AC121)</f>
        <v>0</v>
      </c>
      <c r="AD55" s="331">
        <f>+IF(SUM($F121:AC121)&gt;=AD186*$F$5,0,AD121)</f>
        <v>0</v>
      </c>
      <c r="AE55" s="331">
        <f>+IF(SUM($F121:AD121)&gt;=AE186*$F$5,0,AE121)</f>
        <v>0</v>
      </c>
      <c r="AF55" s="331">
        <f>+IF(SUM($F121:AE121)&gt;=AF186*$F$5,0,AF121)</f>
        <v>0</v>
      </c>
      <c r="AG55" s="331">
        <f>+IF(SUM($F121:AF121)&gt;=AG186*$F$5,0,AG121)</f>
        <v>0</v>
      </c>
      <c r="AH55" s="331">
        <f>+IF(SUM($F121:AG121)&gt;=AH186*$F$5,0,AH121)</f>
        <v>0</v>
      </c>
      <c r="AI55" s="331">
        <f>+IF(SUM($F121:AH121)&gt;=AI186*$F$5,0,AI121)</f>
        <v>0</v>
      </c>
      <c r="AJ55" s="331">
        <f>+IF(SUM($F121:AI121)&gt;=AJ186*$F$5,0,AJ121)</f>
        <v>0</v>
      </c>
      <c r="AK55" s="331">
        <f>+IF(SUM($F121:AJ121)&gt;=AK186*$F$5,0,AK121)</f>
        <v>0</v>
      </c>
      <c r="AL55" s="331">
        <f>+IF(SUM($F121:AK121)&gt;=AL186*$F$5,0,AL121)</f>
        <v>0</v>
      </c>
      <c r="AM55" s="331">
        <f>+IF(SUM($F121:AL121)&gt;=AM186*$F$5,0,AM121)</f>
        <v>0</v>
      </c>
      <c r="AN55" s="331">
        <f>+IF(SUM($F121:AM121)&gt;=AN186*$F$5,0,AN121)</f>
        <v>0</v>
      </c>
      <c r="AO55" s="331">
        <f>+IF(SUM($F121:AN121)&gt;=AO186*$F$5,0,AO121)</f>
        <v>0</v>
      </c>
      <c r="AP55" s="331">
        <f>+IF(SUM($F121:AO121)&gt;=AP186*$F$5,0,AP121)</f>
        <v>0</v>
      </c>
      <c r="AQ55" s="331">
        <f>+IF(SUM($F121:AP121)&gt;=AQ186*$F$5,0,AQ121)</f>
        <v>0</v>
      </c>
      <c r="AR55" s="331">
        <f>+IF(SUM($F121:AQ121)&gt;=AR186*$F$5,0,AR121)</f>
        <v>0</v>
      </c>
      <c r="AS55" s="331">
        <f>+IF(SUM($F121:AR121)&gt;=AS186*$F$5,0,AS121)</f>
        <v>0</v>
      </c>
      <c r="AT55" s="331">
        <f>+IF(SUM($F121:AS121)&gt;=AT186*$F$5,0,AT121)</f>
        <v>0</v>
      </c>
      <c r="AU55" s="331">
        <f>+IF(SUM($F121:AT121)&gt;=AU186*$F$5,0,AU121)</f>
        <v>0</v>
      </c>
      <c r="AV55" s="331">
        <f>+IF(SUM($F121:AU121)&gt;=AV186*$F$5,0,AV121)</f>
        <v>0</v>
      </c>
      <c r="AW55" s="331">
        <f>+IF(SUM($F121:AV121)&gt;=AW186*$F$5,0,AW121)</f>
        <v>0</v>
      </c>
      <c r="AX55" s="331">
        <f>+IF(SUM($F121:AW121)&gt;=AX186*$F$5,0,AX121)</f>
        <v>0</v>
      </c>
      <c r="AY55" s="331">
        <f>+IF(SUM($F121:AX121)&gt;=AY186*$F$5,0,AY121)</f>
        <v>0</v>
      </c>
      <c r="AZ55" s="331">
        <f>+IF(SUM($F121:AY121)&gt;=AZ186*$F$5,0,AZ121)</f>
        <v>0</v>
      </c>
      <c r="BA55" s="331">
        <f>+IF(SUM($F121:AZ121)&gt;=BA186*$F$5,0,BA121)</f>
        <v>0</v>
      </c>
      <c r="BB55" s="331">
        <f>+IF(SUM($F121:BA121)&gt;=BB186*$F$5,0,BB121)</f>
        <v>0</v>
      </c>
      <c r="BC55" s="331">
        <f>+IF(SUM($F121:BB121)&gt;=BC186*$F$5,0,BC121)</f>
        <v>0</v>
      </c>
      <c r="BD55" s="331">
        <f>+IF(SUM($F121:BC121)&gt;=BD186*$F$5,0,BD121)</f>
        <v>0</v>
      </c>
      <c r="BE55" s="331">
        <f>+IF(SUM($F121:BD121)&gt;=BE186*$F$5,0,BE121)</f>
        <v>0</v>
      </c>
      <c r="BF55" s="331">
        <f>+IF(SUM($F121:BE121)&gt;=BF186*$F$5,0,BF121)</f>
        <v>0</v>
      </c>
      <c r="BG55" s="331">
        <f>+IF(SUM($F121:BF121)&gt;=BG186*$F$5,0,BG121)</f>
        <v>0</v>
      </c>
      <c r="BH55" s="331">
        <f>+IF(SUM($F121:BG121)&gt;=BH186*$F$5,0,BH121)</f>
        <v>0</v>
      </c>
      <c r="BI55" s="331">
        <f>+IF(SUM($F121:BH121)&gt;=BI186*$F$5,0,BI121)</f>
        <v>0</v>
      </c>
      <c r="BJ55" s="331">
        <f>+IF(SUM($F121:BI121)&gt;=BJ186*$F$5,0,BJ121)</f>
        <v>0</v>
      </c>
      <c r="BK55" s="331">
        <f>+IF(SUM($F121:BJ121)&gt;=BK186*$F$5,0,BK121)</f>
        <v>0</v>
      </c>
      <c r="BL55" s="331">
        <f>+IF(SUM($F121:BK121)&gt;=BL186*$F$5,0,BL121)</f>
        <v>0</v>
      </c>
      <c r="BM55" s="331">
        <f>+IF(SUM($F121:BL121)&gt;=BM186*$F$5,0,BM121)</f>
        <v>0</v>
      </c>
    </row>
    <row r="56" spans="5:65" ht="15.75">
      <c r="E56" s="416">
        <f t="shared" si="12"/>
        <v>44799</v>
      </c>
      <c r="F56" s="331">
        <f t="shared" si="11"/>
        <v>0</v>
      </c>
      <c r="G56" s="331">
        <f>+IF(SUM($F122:F122)&gt;=G187*$F$5,0,G122)</f>
        <v>0</v>
      </c>
      <c r="H56" s="331">
        <f>+IF(SUM($F122:G122)&gt;=H187*$F$5,0,H122)</f>
        <v>0</v>
      </c>
      <c r="I56" s="331">
        <f>+IF(SUM($F122:H122)&gt;=I187*$F$5,0,I122)</f>
        <v>0</v>
      </c>
      <c r="J56" s="331">
        <f>+IF(SUM($F122:I122)&gt;=J187*$F$5,0,J122)</f>
        <v>0</v>
      </c>
      <c r="K56" s="331">
        <f>+IF(SUM($F122:J122)&gt;=K187*$F$5,0,K122)</f>
        <v>0</v>
      </c>
      <c r="L56" s="331">
        <f>+IF(SUM($F122:K122)&gt;=L187*$F$5,0,L122)</f>
        <v>0</v>
      </c>
      <c r="M56" s="331">
        <f>+IF(SUM($F122:L122)&gt;=M187*$F$5,0,M122)</f>
        <v>0</v>
      </c>
      <c r="N56" s="331">
        <f>+IF(SUM($F122:M122)&gt;=N187*$F$5,0,N122)</f>
        <v>0</v>
      </c>
      <c r="O56" s="331">
        <f>+IF(SUM($F122:N122)&gt;=O187*$F$5,0,O122)</f>
        <v>0</v>
      </c>
      <c r="P56" s="331">
        <f>+IF(SUM($F122:O122)&gt;=P187*$F$5,0,P122)</f>
        <v>0</v>
      </c>
      <c r="Q56" s="331">
        <f>+IF(SUM($F122:P122)&gt;=Q187*$F$5,0,Q122)</f>
        <v>0</v>
      </c>
      <c r="R56" s="331">
        <f>+IF(SUM($F122:Q122)&gt;=R187*$F$5,0,R122)</f>
        <v>0</v>
      </c>
      <c r="S56" s="331">
        <f>+IF(SUM($F122:R122)&gt;=S187*$F$5,0,S122)</f>
        <v>0</v>
      </c>
      <c r="T56" s="331">
        <f>+IF(SUM($F122:S122)&gt;=T187*$F$5,0,T122)</f>
        <v>0</v>
      </c>
      <c r="U56" s="331">
        <f>+IF(SUM($F122:T122)&gt;=U187*$F$5,0,U122)</f>
        <v>0</v>
      </c>
      <c r="V56" s="331">
        <f>+IF(SUM($F122:U122)&gt;=V187*$F$5,0,V122)</f>
        <v>0</v>
      </c>
      <c r="W56" s="331">
        <f>+IF(SUM($F122:V122)&gt;=W187*$F$5,0,W122)</f>
        <v>0</v>
      </c>
      <c r="X56" s="331">
        <f>+IF(SUM($F122:W122)&gt;=X187*$F$5,0,X122)</f>
        <v>0</v>
      </c>
      <c r="Y56" s="331">
        <f>+IF(SUM($F122:X122)&gt;=Y187*$F$5,0,Y122)</f>
        <v>0</v>
      </c>
      <c r="Z56" s="331">
        <f>+IF(SUM($F122:Y122)&gt;=Z187*$F$5,0,Z122)</f>
        <v>0</v>
      </c>
      <c r="AA56" s="331">
        <f>+IF(SUM($F122:Z122)&gt;=AA187*$F$5,0,AA122)</f>
        <v>0</v>
      </c>
      <c r="AB56" s="331">
        <f>+IF(SUM($F122:AA122)&gt;=AB187*$F$5,0,AB122)</f>
        <v>0</v>
      </c>
      <c r="AC56" s="331">
        <f>+IF(SUM($F122:AB122)&gt;=AC187*$F$5,0,AC122)</f>
        <v>0</v>
      </c>
      <c r="AD56" s="331">
        <f>+IF(SUM($F122:AC122)&gt;=AD187*$F$5,0,AD122)</f>
        <v>0</v>
      </c>
      <c r="AE56" s="331">
        <f>+IF(SUM($F122:AD122)&gt;=AE187*$F$5,0,AE122)</f>
        <v>0</v>
      </c>
      <c r="AF56" s="331">
        <f>+IF(SUM($F122:AE122)&gt;=AF187*$F$5,0,AF122)</f>
        <v>0</v>
      </c>
      <c r="AG56" s="331">
        <f>+IF(SUM($F122:AF122)&gt;=AG187*$F$5,0,AG122)</f>
        <v>0</v>
      </c>
      <c r="AH56" s="331">
        <f>+IF(SUM($F122:AG122)&gt;=AH187*$F$5,0,AH122)</f>
        <v>0</v>
      </c>
      <c r="AI56" s="331">
        <f>+IF(SUM($F122:AH122)&gt;=AI187*$F$5,0,AI122)</f>
        <v>0</v>
      </c>
      <c r="AJ56" s="331">
        <f>+IF(SUM($F122:AI122)&gt;=AJ187*$F$5,0,AJ122)</f>
        <v>0</v>
      </c>
      <c r="AK56" s="331">
        <f>+IF(SUM($F122:AJ122)&gt;=AK187*$F$5,0,AK122)</f>
        <v>0</v>
      </c>
      <c r="AL56" s="331">
        <f>+IF(SUM($F122:AK122)&gt;=AL187*$F$5,0,AL122)</f>
        <v>0</v>
      </c>
      <c r="AM56" s="331">
        <f>+IF(SUM($F122:AL122)&gt;=AM187*$F$5,0,AM122)</f>
        <v>0</v>
      </c>
      <c r="AN56" s="331">
        <f>+IF(SUM($F122:AM122)&gt;=AN187*$F$5,0,AN122)</f>
        <v>0</v>
      </c>
      <c r="AO56" s="331">
        <f>+IF(SUM($F122:AN122)&gt;=AO187*$F$5,0,AO122)</f>
        <v>0</v>
      </c>
      <c r="AP56" s="331">
        <f>+IF(SUM($F122:AO122)&gt;=AP187*$F$5,0,AP122)</f>
        <v>0</v>
      </c>
      <c r="AQ56" s="331">
        <f>+IF(SUM($F122:AP122)&gt;=AQ187*$F$5,0,AQ122)</f>
        <v>0</v>
      </c>
      <c r="AR56" s="331">
        <f>+IF(SUM($F122:AQ122)&gt;=AR187*$F$5,0,AR122)</f>
        <v>0</v>
      </c>
      <c r="AS56" s="331">
        <f>+IF(SUM($F122:AR122)&gt;=AS187*$F$5,0,AS122)</f>
        <v>0</v>
      </c>
      <c r="AT56" s="331">
        <f>+IF(SUM($F122:AS122)&gt;=AT187*$F$5,0,AT122)</f>
        <v>0</v>
      </c>
      <c r="AU56" s="331">
        <f>+IF(SUM($F122:AT122)&gt;=AU187*$F$5,0,AU122)</f>
        <v>0</v>
      </c>
      <c r="AV56" s="331">
        <f>+IF(SUM($F122:AU122)&gt;=AV187*$F$5,0,AV122)</f>
        <v>0</v>
      </c>
      <c r="AW56" s="331">
        <f>+IF(SUM($F122:AV122)&gt;=AW187*$F$5,0,AW122)</f>
        <v>0</v>
      </c>
      <c r="AX56" s="331">
        <f>+IF(SUM($F122:AW122)&gt;=AX187*$F$5,0,AX122)</f>
        <v>0</v>
      </c>
      <c r="AY56" s="331">
        <f>+IF(SUM($F122:AX122)&gt;=AY187*$F$5,0,AY122)</f>
        <v>0</v>
      </c>
      <c r="AZ56" s="331">
        <f>+IF(SUM($F122:AY122)&gt;=AZ187*$F$5,0,AZ122)</f>
        <v>0</v>
      </c>
      <c r="BA56" s="331">
        <f>+IF(SUM($F122:AZ122)&gt;=BA187*$F$5,0,BA122)</f>
        <v>0</v>
      </c>
      <c r="BB56" s="331">
        <f>+IF(SUM($F122:BA122)&gt;=BB187*$F$5,0,BB122)</f>
        <v>0</v>
      </c>
      <c r="BC56" s="331">
        <f>+IF(SUM($F122:BB122)&gt;=BC187*$F$5,0,BC122)</f>
        <v>0</v>
      </c>
      <c r="BD56" s="331">
        <f>+IF(SUM($F122:BC122)&gt;=BD187*$F$5,0,BD122)</f>
        <v>0</v>
      </c>
      <c r="BE56" s="331">
        <f>+IF(SUM($F122:BD122)&gt;=BE187*$F$5,0,BE122)</f>
        <v>0</v>
      </c>
      <c r="BF56" s="331">
        <f>+IF(SUM($F122:BE122)&gt;=BF187*$F$5,0,BF122)</f>
        <v>0</v>
      </c>
      <c r="BG56" s="331">
        <f>+IF(SUM($F122:BF122)&gt;=BG187*$F$5,0,BG122)</f>
        <v>0</v>
      </c>
      <c r="BH56" s="331">
        <f>+IF(SUM($F122:BG122)&gt;=BH187*$F$5,0,BH122)</f>
        <v>0</v>
      </c>
      <c r="BI56" s="331">
        <f>+IF(SUM($F122:BH122)&gt;=BI187*$F$5,0,BI122)</f>
        <v>0</v>
      </c>
      <c r="BJ56" s="331">
        <f>+IF(SUM($F122:BI122)&gt;=BJ187*$F$5,0,BJ122)</f>
        <v>0</v>
      </c>
      <c r="BK56" s="331">
        <f>+IF(SUM($F122:BJ122)&gt;=BK187*$F$5,0,BK122)</f>
        <v>0</v>
      </c>
      <c r="BL56" s="331">
        <f>+IF(SUM($F122:BK122)&gt;=BL187*$F$5,0,BL122)</f>
        <v>0</v>
      </c>
      <c r="BM56" s="331">
        <f>+IF(SUM($F122:BL122)&gt;=BM187*$F$5,0,BM122)</f>
        <v>0</v>
      </c>
    </row>
    <row r="57" spans="5:65" ht="15.75">
      <c r="E57" s="416">
        <f t="shared" si="12"/>
        <v>44830</v>
      </c>
      <c r="F57" s="331">
        <f t="shared" si="11"/>
        <v>0</v>
      </c>
      <c r="G57" s="331">
        <f>+IF(SUM($F123:F123)&gt;=G188*$F$5,0,G123)</f>
        <v>0</v>
      </c>
      <c r="H57" s="331">
        <f>+IF(SUM($F123:G123)&gt;=H188*$F$5,0,H123)</f>
        <v>0</v>
      </c>
      <c r="I57" s="331">
        <f>+IF(SUM($F123:H123)&gt;=I188*$F$5,0,I123)</f>
        <v>0</v>
      </c>
      <c r="J57" s="331">
        <f>+IF(SUM($F123:I123)&gt;=J188*$F$5,0,J123)</f>
        <v>0</v>
      </c>
      <c r="K57" s="331">
        <f>+IF(SUM($F123:J123)&gt;=K188*$F$5,0,K123)</f>
        <v>0</v>
      </c>
      <c r="L57" s="331">
        <f>+IF(SUM($F123:K123)&gt;=L188*$F$5,0,L123)</f>
        <v>0</v>
      </c>
      <c r="M57" s="331">
        <f>+IF(SUM($F123:L123)&gt;=M188*$F$5,0,M123)</f>
        <v>0</v>
      </c>
      <c r="N57" s="331">
        <f>+IF(SUM($F123:M123)&gt;=N188*$F$5,0,N123)</f>
        <v>0</v>
      </c>
      <c r="O57" s="331">
        <f>+IF(SUM($F123:N123)&gt;=O188*$F$5,0,O123)</f>
        <v>0</v>
      </c>
      <c r="P57" s="331">
        <f>+IF(SUM($F123:O123)&gt;=P188*$F$5,0,P123)</f>
        <v>0</v>
      </c>
      <c r="Q57" s="331">
        <f>+IF(SUM($F123:P123)&gt;=Q188*$F$5,0,Q123)</f>
        <v>0</v>
      </c>
      <c r="R57" s="331">
        <f>+IF(SUM($F123:Q123)&gt;=R188*$F$5,0,R123)</f>
        <v>0</v>
      </c>
      <c r="S57" s="331">
        <f>+IF(SUM($F123:R123)&gt;=S188*$F$5,0,S123)</f>
        <v>0</v>
      </c>
      <c r="T57" s="331">
        <f>+IF(SUM($F123:S123)&gt;=T188*$F$5,0,T123)</f>
        <v>0</v>
      </c>
      <c r="U57" s="331">
        <f>+IF(SUM($F123:T123)&gt;=U188*$F$5,0,U123)</f>
        <v>0</v>
      </c>
      <c r="V57" s="331">
        <f>+IF(SUM($F123:U123)&gt;=V188*$F$5,0,V123)</f>
        <v>0</v>
      </c>
      <c r="W57" s="331">
        <f>+IF(SUM($F123:V123)&gt;=W188*$F$5,0,W123)</f>
        <v>0</v>
      </c>
      <c r="X57" s="331">
        <f>+IF(SUM($F123:W123)&gt;=X188*$F$5,0,X123)</f>
        <v>0</v>
      </c>
      <c r="Y57" s="331">
        <f>+IF(SUM($F123:X123)&gt;=Y188*$F$5,0,Y123)</f>
        <v>0</v>
      </c>
      <c r="Z57" s="331">
        <f>+IF(SUM($F123:Y123)&gt;=Z188*$F$5,0,Z123)</f>
        <v>0</v>
      </c>
      <c r="AA57" s="331">
        <f>+IF(SUM($F123:Z123)&gt;=AA188*$F$5,0,AA123)</f>
        <v>0</v>
      </c>
      <c r="AB57" s="331">
        <f>+IF(SUM($F123:AA123)&gt;=AB188*$F$5,0,AB123)</f>
        <v>0</v>
      </c>
      <c r="AC57" s="331">
        <f>+IF(SUM($F123:AB123)&gt;=AC188*$F$5,0,AC123)</f>
        <v>0</v>
      </c>
      <c r="AD57" s="331">
        <f>+IF(SUM($F123:AC123)&gt;=AD188*$F$5,0,AD123)</f>
        <v>0</v>
      </c>
      <c r="AE57" s="331">
        <f>+IF(SUM($F123:AD123)&gt;=AE188*$F$5,0,AE123)</f>
        <v>0</v>
      </c>
      <c r="AF57" s="331">
        <f>+IF(SUM($F123:AE123)&gt;=AF188*$F$5,0,AF123)</f>
        <v>0</v>
      </c>
      <c r="AG57" s="331">
        <f>+IF(SUM($F123:AF123)&gt;=AG188*$F$5,0,AG123)</f>
        <v>0</v>
      </c>
      <c r="AH57" s="331">
        <f>+IF(SUM($F123:AG123)&gt;=AH188*$F$5,0,AH123)</f>
        <v>0</v>
      </c>
      <c r="AI57" s="331">
        <f>+IF(SUM($F123:AH123)&gt;=AI188*$F$5,0,AI123)</f>
        <v>0</v>
      </c>
      <c r="AJ57" s="331">
        <f>+IF(SUM($F123:AI123)&gt;=AJ188*$F$5,0,AJ123)</f>
        <v>0</v>
      </c>
      <c r="AK57" s="331">
        <f>+IF(SUM($F123:AJ123)&gt;=AK188*$F$5,0,AK123)</f>
        <v>0</v>
      </c>
      <c r="AL57" s="331">
        <f>+IF(SUM($F123:AK123)&gt;=AL188*$F$5,0,AL123)</f>
        <v>0</v>
      </c>
      <c r="AM57" s="331">
        <f>+IF(SUM($F123:AL123)&gt;=AM188*$F$5,0,AM123)</f>
        <v>0</v>
      </c>
      <c r="AN57" s="331">
        <f>+IF(SUM($F123:AM123)&gt;=AN188*$F$5,0,AN123)</f>
        <v>0</v>
      </c>
      <c r="AO57" s="331">
        <f>+IF(SUM($F123:AN123)&gt;=AO188*$F$5,0,AO123)</f>
        <v>0</v>
      </c>
      <c r="AP57" s="331">
        <f>+IF(SUM($F123:AO123)&gt;=AP188*$F$5,0,AP123)</f>
        <v>0</v>
      </c>
      <c r="AQ57" s="331">
        <f>+IF(SUM($F123:AP123)&gt;=AQ188*$F$5,0,AQ123)</f>
        <v>0</v>
      </c>
      <c r="AR57" s="331">
        <f>+IF(SUM($F123:AQ123)&gt;=AR188*$F$5,0,AR123)</f>
        <v>0</v>
      </c>
      <c r="AS57" s="331">
        <f>+IF(SUM($F123:AR123)&gt;=AS188*$F$5,0,AS123)</f>
        <v>0</v>
      </c>
      <c r="AT57" s="331">
        <f>+IF(SUM($F123:AS123)&gt;=AT188*$F$5,0,AT123)</f>
        <v>0</v>
      </c>
      <c r="AU57" s="331">
        <f>+IF(SUM($F123:AT123)&gt;=AU188*$F$5,0,AU123)</f>
        <v>0</v>
      </c>
      <c r="AV57" s="331">
        <f>+IF(SUM($F123:AU123)&gt;=AV188*$F$5,0,AV123)</f>
        <v>0</v>
      </c>
      <c r="AW57" s="331">
        <f>+IF(SUM($F123:AV123)&gt;=AW188*$F$5,0,AW123)</f>
        <v>0</v>
      </c>
      <c r="AX57" s="331">
        <f>+IF(SUM($F123:AW123)&gt;=AX188*$F$5,0,AX123)</f>
        <v>0</v>
      </c>
      <c r="AY57" s="331">
        <f>+IF(SUM($F123:AX123)&gt;=AY188*$F$5,0,AY123)</f>
        <v>0</v>
      </c>
      <c r="AZ57" s="331">
        <f>+IF(SUM($F123:AY123)&gt;=AZ188*$F$5,0,AZ123)</f>
        <v>0</v>
      </c>
      <c r="BA57" s="331">
        <f>+IF(SUM($F123:AZ123)&gt;=BA188*$F$5,0,BA123)</f>
        <v>0</v>
      </c>
      <c r="BB57" s="331">
        <f>+IF(SUM($F123:BA123)&gt;=BB188*$F$5,0,BB123)</f>
        <v>0</v>
      </c>
      <c r="BC57" s="331">
        <f>+IF(SUM($F123:BB123)&gt;=BC188*$F$5,0,BC123)</f>
        <v>0</v>
      </c>
      <c r="BD57" s="331">
        <f>+IF(SUM($F123:BC123)&gt;=BD188*$F$5,0,BD123)</f>
        <v>0</v>
      </c>
      <c r="BE57" s="331">
        <f>+IF(SUM($F123:BD123)&gt;=BE188*$F$5,0,BE123)</f>
        <v>0</v>
      </c>
      <c r="BF57" s="331">
        <f>+IF(SUM($F123:BE123)&gt;=BF188*$F$5,0,BF123)</f>
        <v>0</v>
      </c>
      <c r="BG57" s="331">
        <f>+IF(SUM($F123:BF123)&gt;=BG188*$F$5,0,BG123)</f>
        <v>0</v>
      </c>
      <c r="BH57" s="331">
        <f>+IF(SUM($F123:BG123)&gt;=BH188*$F$5,0,BH123)</f>
        <v>0</v>
      </c>
      <c r="BI57" s="331">
        <f>+IF(SUM($F123:BH123)&gt;=BI188*$F$5,0,BI123)</f>
        <v>0</v>
      </c>
      <c r="BJ57" s="331">
        <f>+IF(SUM($F123:BI123)&gt;=BJ188*$F$5,0,BJ123)</f>
        <v>0</v>
      </c>
      <c r="BK57" s="331">
        <f>+IF(SUM($F123:BJ123)&gt;=BK188*$F$5,0,BK123)</f>
        <v>0</v>
      </c>
      <c r="BL57" s="331">
        <f>+IF(SUM($F123:BK123)&gt;=BL188*$F$5,0,BL123)</f>
        <v>0</v>
      </c>
      <c r="BM57" s="331">
        <f>+IF(SUM($F123:BL123)&gt;=BM188*$F$5,0,BM123)</f>
        <v>0</v>
      </c>
    </row>
    <row r="58" spans="5:65" ht="15.75">
      <c r="E58" s="416">
        <f t="shared" si="12"/>
        <v>44861</v>
      </c>
      <c r="F58" s="331">
        <f t="shared" si="11"/>
        <v>0</v>
      </c>
      <c r="G58" s="331">
        <f>+IF(SUM($F124:F124)&gt;=G189*$F$5,0,G124)</f>
        <v>0</v>
      </c>
      <c r="H58" s="331">
        <f>+IF(SUM($F124:G124)&gt;=H189*$F$5,0,H124)</f>
        <v>0</v>
      </c>
      <c r="I58" s="331">
        <f>+IF(SUM($F124:H124)&gt;=I189*$F$5,0,I124)</f>
        <v>0</v>
      </c>
      <c r="J58" s="331">
        <f>+IF(SUM($F124:I124)&gt;=J189*$F$5,0,J124)</f>
        <v>0</v>
      </c>
      <c r="K58" s="331">
        <f>+IF(SUM($F124:J124)&gt;=K189*$F$5,0,K124)</f>
        <v>0</v>
      </c>
      <c r="L58" s="331">
        <f>+IF(SUM($F124:K124)&gt;=L189*$F$5,0,L124)</f>
        <v>0</v>
      </c>
      <c r="M58" s="331">
        <f>+IF(SUM($F124:L124)&gt;=M189*$F$5,0,M124)</f>
        <v>0</v>
      </c>
      <c r="N58" s="331">
        <f>+IF(SUM($F124:M124)&gt;=N189*$F$5,0,N124)</f>
        <v>0</v>
      </c>
      <c r="O58" s="331">
        <f>+IF(SUM($F124:N124)&gt;=O189*$F$5,0,O124)</f>
        <v>0</v>
      </c>
      <c r="P58" s="331">
        <f>+IF(SUM($F124:O124)&gt;=P189*$F$5,0,P124)</f>
        <v>0</v>
      </c>
      <c r="Q58" s="331">
        <f>+IF(SUM($F124:P124)&gt;=Q189*$F$5,0,Q124)</f>
        <v>0</v>
      </c>
      <c r="R58" s="331">
        <f>+IF(SUM($F124:Q124)&gt;=R189*$F$5,0,R124)</f>
        <v>0</v>
      </c>
      <c r="S58" s="331">
        <f>+IF(SUM($F124:R124)&gt;=S189*$F$5,0,S124)</f>
        <v>0</v>
      </c>
      <c r="T58" s="331">
        <f>+IF(SUM($F124:S124)&gt;=T189*$F$5,0,T124)</f>
        <v>0</v>
      </c>
      <c r="U58" s="331">
        <f>+IF(SUM($F124:T124)&gt;=U189*$F$5,0,U124)</f>
        <v>0</v>
      </c>
      <c r="V58" s="331">
        <f>+IF(SUM($F124:U124)&gt;=V189*$F$5,0,V124)</f>
        <v>0</v>
      </c>
      <c r="W58" s="331">
        <f>+IF(SUM($F124:V124)&gt;=W189*$F$5,0,W124)</f>
        <v>0</v>
      </c>
      <c r="X58" s="331">
        <f>+IF(SUM($F124:W124)&gt;=X189*$F$5,0,X124)</f>
        <v>0</v>
      </c>
      <c r="Y58" s="331">
        <f>+IF(SUM($F124:X124)&gt;=Y189*$F$5,0,Y124)</f>
        <v>0</v>
      </c>
      <c r="Z58" s="331">
        <f>+IF(SUM($F124:Y124)&gt;=Z189*$F$5,0,Z124)</f>
        <v>0</v>
      </c>
      <c r="AA58" s="331">
        <f>+IF(SUM($F124:Z124)&gt;=AA189*$F$5,0,AA124)</f>
        <v>0</v>
      </c>
      <c r="AB58" s="331">
        <f>+IF(SUM($F124:AA124)&gt;=AB189*$F$5,0,AB124)</f>
        <v>0</v>
      </c>
      <c r="AC58" s="331">
        <f>+IF(SUM($F124:AB124)&gt;=AC189*$F$5,0,AC124)</f>
        <v>0</v>
      </c>
      <c r="AD58" s="331">
        <f>+IF(SUM($F124:AC124)&gt;=AD189*$F$5,0,AD124)</f>
        <v>0</v>
      </c>
      <c r="AE58" s="331">
        <f>+IF(SUM($F124:AD124)&gt;=AE189*$F$5,0,AE124)</f>
        <v>0</v>
      </c>
      <c r="AF58" s="331">
        <f>+IF(SUM($F124:AE124)&gt;=AF189*$F$5,0,AF124)</f>
        <v>0</v>
      </c>
      <c r="AG58" s="331">
        <f>+IF(SUM($F124:AF124)&gt;=AG189*$F$5,0,AG124)</f>
        <v>0</v>
      </c>
      <c r="AH58" s="331">
        <f>+IF(SUM($F124:AG124)&gt;=AH189*$F$5,0,AH124)</f>
        <v>0</v>
      </c>
      <c r="AI58" s="331">
        <f>+IF(SUM($F124:AH124)&gt;=AI189*$F$5,0,AI124)</f>
        <v>0</v>
      </c>
      <c r="AJ58" s="331">
        <f>+IF(SUM($F124:AI124)&gt;=AJ189*$F$5,0,AJ124)</f>
        <v>0</v>
      </c>
      <c r="AK58" s="331">
        <f>+IF(SUM($F124:AJ124)&gt;=AK189*$F$5,0,AK124)</f>
        <v>0</v>
      </c>
      <c r="AL58" s="331">
        <f>+IF(SUM($F124:AK124)&gt;=AL189*$F$5,0,AL124)</f>
        <v>0</v>
      </c>
      <c r="AM58" s="331">
        <f>+IF(SUM($F124:AL124)&gt;=AM189*$F$5,0,AM124)</f>
        <v>0</v>
      </c>
      <c r="AN58" s="331">
        <f>+IF(SUM($F124:AM124)&gt;=AN189*$F$5,0,AN124)</f>
        <v>0</v>
      </c>
      <c r="AO58" s="331">
        <f>+IF(SUM($F124:AN124)&gt;=AO189*$F$5,0,AO124)</f>
        <v>0</v>
      </c>
      <c r="AP58" s="331">
        <f>+IF(SUM($F124:AO124)&gt;=AP189*$F$5,0,AP124)</f>
        <v>0</v>
      </c>
      <c r="AQ58" s="331">
        <f>+IF(SUM($F124:AP124)&gt;=AQ189*$F$5,0,AQ124)</f>
        <v>0</v>
      </c>
      <c r="AR58" s="331">
        <f>+IF(SUM($F124:AQ124)&gt;=AR189*$F$5,0,AR124)</f>
        <v>0</v>
      </c>
      <c r="AS58" s="331">
        <f>+IF(SUM($F124:AR124)&gt;=AS189*$F$5,0,AS124)</f>
        <v>0</v>
      </c>
      <c r="AT58" s="331">
        <f>+IF(SUM($F124:AS124)&gt;=AT189*$F$5,0,AT124)</f>
        <v>0</v>
      </c>
      <c r="AU58" s="331">
        <f>+IF(SUM($F124:AT124)&gt;=AU189*$F$5,0,AU124)</f>
        <v>0</v>
      </c>
      <c r="AV58" s="331">
        <f>+IF(SUM($F124:AU124)&gt;=AV189*$F$5,0,AV124)</f>
        <v>0</v>
      </c>
      <c r="AW58" s="331">
        <f>+IF(SUM($F124:AV124)&gt;=AW189*$F$5,0,AW124)</f>
        <v>0</v>
      </c>
      <c r="AX58" s="331">
        <f>+IF(SUM($F124:AW124)&gt;=AX189*$F$5,0,AX124)</f>
        <v>0</v>
      </c>
      <c r="AY58" s="331">
        <f>+IF(SUM($F124:AX124)&gt;=AY189*$F$5,0,AY124)</f>
        <v>0</v>
      </c>
      <c r="AZ58" s="331">
        <f>+IF(SUM($F124:AY124)&gt;=AZ189*$F$5,0,AZ124)</f>
        <v>0</v>
      </c>
      <c r="BA58" s="331">
        <f>+IF(SUM($F124:AZ124)&gt;=BA189*$F$5,0,BA124)</f>
        <v>0</v>
      </c>
      <c r="BB58" s="331">
        <f>+IF(SUM($F124:BA124)&gt;=BB189*$F$5,0,BB124)</f>
        <v>0</v>
      </c>
      <c r="BC58" s="331">
        <f>+IF(SUM($F124:BB124)&gt;=BC189*$F$5,0,BC124)</f>
        <v>0</v>
      </c>
      <c r="BD58" s="331">
        <f>+IF(SUM($F124:BC124)&gt;=BD189*$F$5,0,BD124)</f>
        <v>0</v>
      </c>
      <c r="BE58" s="331">
        <f>+IF(SUM($F124:BD124)&gt;=BE189*$F$5,0,BE124)</f>
        <v>0</v>
      </c>
      <c r="BF58" s="331">
        <f>+IF(SUM($F124:BE124)&gt;=BF189*$F$5,0,BF124)</f>
        <v>0</v>
      </c>
      <c r="BG58" s="331">
        <f>+IF(SUM($F124:BF124)&gt;=BG189*$F$5,0,BG124)</f>
        <v>0</v>
      </c>
      <c r="BH58" s="331">
        <f>+IF(SUM($F124:BG124)&gt;=BH189*$F$5,0,BH124)</f>
        <v>0</v>
      </c>
      <c r="BI58" s="331">
        <f>+IF(SUM($F124:BH124)&gt;=BI189*$F$5,0,BI124)</f>
        <v>0</v>
      </c>
      <c r="BJ58" s="331">
        <f>+IF(SUM($F124:BI124)&gt;=BJ189*$F$5,0,BJ124)</f>
        <v>0</v>
      </c>
      <c r="BK58" s="331">
        <f>+IF(SUM($F124:BJ124)&gt;=BK189*$F$5,0,BK124)</f>
        <v>0</v>
      </c>
      <c r="BL58" s="331">
        <f>+IF(SUM($F124:BK124)&gt;=BL189*$F$5,0,BL124)</f>
        <v>0</v>
      </c>
      <c r="BM58" s="331">
        <f>+IF(SUM($F124:BL124)&gt;=BM189*$F$5,0,BM124)</f>
        <v>0</v>
      </c>
    </row>
    <row r="59" spans="5:65" ht="15.75">
      <c r="E59" s="416">
        <f t="shared" si="12"/>
        <v>44892</v>
      </c>
      <c r="F59" s="331">
        <f t="shared" si="11"/>
        <v>0</v>
      </c>
      <c r="G59" s="331">
        <f>+IF(SUM($F125:F125)&gt;=G190*$F$5,0,G125)</f>
        <v>0</v>
      </c>
      <c r="H59" s="331">
        <f>+IF(SUM($F125:G125)&gt;=H190*$F$5,0,H125)</f>
        <v>0</v>
      </c>
      <c r="I59" s="331">
        <f>+IF(SUM($F125:H125)&gt;=I190*$F$5,0,I125)</f>
        <v>0</v>
      </c>
      <c r="J59" s="331">
        <f>+IF(SUM($F125:I125)&gt;=J190*$F$5,0,J125)</f>
        <v>0</v>
      </c>
      <c r="K59" s="331">
        <f>+IF(SUM($F125:J125)&gt;=K190*$F$5,0,K125)</f>
        <v>0</v>
      </c>
      <c r="L59" s="331">
        <f>+IF(SUM($F125:K125)&gt;=L190*$F$5,0,L125)</f>
        <v>0</v>
      </c>
      <c r="M59" s="331">
        <f>+IF(SUM($F125:L125)&gt;=M190*$F$5,0,M125)</f>
        <v>0</v>
      </c>
      <c r="N59" s="331">
        <f>+IF(SUM($F125:M125)&gt;=N190*$F$5,0,N125)</f>
        <v>0</v>
      </c>
      <c r="O59" s="331">
        <f>+IF(SUM($F125:N125)&gt;=O190*$F$5,0,O125)</f>
        <v>0</v>
      </c>
      <c r="P59" s="331">
        <f>+IF(SUM($F125:O125)&gt;=P190*$F$5,0,P125)</f>
        <v>0</v>
      </c>
      <c r="Q59" s="331">
        <f>+IF(SUM($F125:P125)&gt;=Q190*$F$5,0,Q125)</f>
        <v>0</v>
      </c>
      <c r="R59" s="331">
        <f>+IF(SUM($F125:Q125)&gt;=R190*$F$5,0,R125)</f>
        <v>0</v>
      </c>
      <c r="S59" s="331">
        <f>+IF(SUM($F125:R125)&gt;=S190*$F$5,0,S125)</f>
        <v>0</v>
      </c>
      <c r="T59" s="331">
        <f>+IF(SUM($F125:S125)&gt;=T190*$F$5,0,T125)</f>
        <v>0</v>
      </c>
      <c r="U59" s="331">
        <f>+IF(SUM($F125:T125)&gt;=U190*$F$5,0,U125)</f>
        <v>0</v>
      </c>
      <c r="V59" s="331">
        <f>+IF(SUM($F125:U125)&gt;=V190*$F$5,0,V125)</f>
        <v>0</v>
      </c>
      <c r="W59" s="331">
        <f>+IF(SUM($F125:V125)&gt;=W190*$F$5,0,W125)</f>
        <v>0</v>
      </c>
      <c r="X59" s="331">
        <f>+IF(SUM($F125:W125)&gt;=X190*$F$5,0,X125)</f>
        <v>0</v>
      </c>
      <c r="Y59" s="331">
        <f>+IF(SUM($F125:X125)&gt;=Y190*$F$5,0,Y125)</f>
        <v>0</v>
      </c>
      <c r="Z59" s="331">
        <f>+IF(SUM($F125:Y125)&gt;=Z190*$F$5,0,Z125)</f>
        <v>0</v>
      </c>
      <c r="AA59" s="331">
        <f>+IF(SUM($F125:Z125)&gt;=AA190*$F$5,0,AA125)</f>
        <v>0</v>
      </c>
      <c r="AB59" s="331">
        <f>+IF(SUM($F125:AA125)&gt;=AB190*$F$5,0,AB125)</f>
        <v>0</v>
      </c>
      <c r="AC59" s="331">
        <f>+IF(SUM($F125:AB125)&gt;=AC190*$F$5,0,AC125)</f>
        <v>0</v>
      </c>
      <c r="AD59" s="331">
        <f>+IF(SUM($F125:AC125)&gt;=AD190*$F$5,0,AD125)</f>
        <v>0</v>
      </c>
      <c r="AE59" s="331">
        <f>+IF(SUM($F125:AD125)&gt;=AE190*$F$5,0,AE125)</f>
        <v>0</v>
      </c>
      <c r="AF59" s="331">
        <f>+IF(SUM($F125:AE125)&gt;=AF190*$F$5,0,AF125)</f>
        <v>0</v>
      </c>
      <c r="AG59" s="331">
        <f>+IF(SUM($F125:AF125)&gt;=AG190*$F$5,0,AG125)</f>
        <v>0</v>
      </c>
      <c r="AH59" s="331">
        <f>+IF(SUM($F125:AG125)&gt;=AH190*$F$5,0,AH125)</f>
        <v>0</v>
      </c>
      <c r="AI59" s="331">
        <f>+IF(SUM($F125:AH125)&gt;=AI190*$F$5,0,AI125)</f>
        <v>0</v>
      </c>
      <c r="AJ59" s="331">
        <f>+IF(SUM($F125:AI125)&gt;=AJ190*$F$5,0,AJ125)</f>
        <v>0</v>
      </c>
      <c r="AK59" s="331">
        <f>+IF(SUM($F125:AJ125)&gt;=AK190*$F$5,0,AK125)</f>
        <v>0</v>
      </c>
      <c r="AL59" s="331">
        <f>+IF(SUM($F125:AK125)&gt;=AL190*$F$5,0,AL125)</f>
        <v>0</v>
      </c>
      <c r="AM59" s="331">
        <f>+IF(SUM($F125:AL125)&gt;=AM190*$F$5,0,AM125)</f>
        <v>0</v>
      </c>
      <c r="AN59" s="331">
        <f>+IF(SUM($F125:AM125)&gt;=AN190*$F$5,0,AN125)</f>
        <v>0</v>
      </c>
      <c r="AO59" s="331">
        <f>+IF(SUM($F125:AN125)&gt;=AO190*$F$5,0,AO125)</f>
        <v>0</v>
      </c>
      <c r="AP59" s="331">
        <f>+IF(SUM($F125:AO125)&gt;=AP190*$F$5,0,AP125)</f>
        <v>0</v>
      </c>
      <c r="AQ59" s="331">
        <f>+IF(SUM($F125:AP125)&gt;=AQ190*$F$5,0,AQ125)</f>
        <v>0</v>
      </c>
      <c r="AR59" s="331">
        <f>+IF(SUM($F125:AQ125)&gt;=AR190*$F$5,0,AR125)</f>
        <v>0</v>
      </c>
      <c r="AS59" s="331">
        <f>+IF(SUM($F125:AR125)&gt;=AS190*$F$5,0,AS125)</f>
        <v>0</v>
      </c>
      <c r="AT59" s="331">
        <f>+IF(SUM($F125:AS125)&gt;=AT190*$F$5,0,AT125)</f>
        <v>0</v>
      </c>
      <c r="AU59" s="331">
        <f>+IF(SUM($F125:AT125)&gt;=AU190*$F$5,0,AU125)</f>
        <v>0</v>
      </c>
      <c r="AV59" s="331">
        <f>+IF(SUM($F125:AU125)&gt;=AV190*$F$5,0,AV125)</f>
        <v>0</v>
      </c>
      <c r="AW59" s="331">
        <f>+IF(SUM($F125:AV125)&gt;=AW190*$F$5,0,AW125)</f>
        <v>0</v>
      </c>
      <c r="AX59" s="331">
        <f>+IF(SUM($F125:AW125)&gt;=AX190*$F$5,0,AX125)</f>
        <v>0</v>
      </c>
      <c r="AY59" s="331">
        <f>+IF(SUM($F125:AX125)&gt;=AY190*$F$5,0,AY125)</f>
        <v>0</v>
      </c>
      <c r="AZ59" s="331">
        <f>+IF(SUM($F125:AY125)&gt;=AZ190*$F$5,0,AZ125)</f>
        <v>0</v>
      </c>
      <c r="BA59" s="331">
        <f>+IF(SUM($F125:AZ125)&gt;=BA190*$F$5,0,BA125)</f>
        <v>0</v>
      </c>
      <c r="BB59" s="331">
        <f>+IF(SUM($F125:BA125)&gt;=BB190*$F$5,0,BB125)</f>
        <v>0</v>
      </c>
      <c r="BC59" s="331">
        <f>+IF(SUM($F125:BB125)&gt;=BC190*$F$5,0,BC125)</f>
        <v>0</v>
      </c>
      <c r="BD59" s="331">
        <f>+IF(SUM($F125:BC125)&gt;=BD190*$F$5,0,BD125)</f>
        <v>0</v>
      </c>
      <c r="BE59" s="331">
        <f>+IF(SUM($F125:BD125)&gt;=BE190*$F$5,0,BE125)</f>
        <v>0</v>
      </c>
      <c r="BF59" s="331">
        <f>+IF(SUM($F125:BE125)&gt;=BF190*$F$5,0,BF125)</f>
        <v>0</v>
      </c>
      <c r="BG59" s="331">
        <f>+IF(SUM($F125:BF125)&gt;=BG190*$F$5,0,BG125)</f>
        <v>0</v>
      </c>
      <c r="BH59" s="331">
        <f>+IF(SUM($F125:BG125)&gt;=BH190*$F$5,0,BH125)</f>
        <v>0</v>
      </c>
      <c r="BI59" s="331">
        <f>+IF(SUM($F125:BH125)&gt;=BI190*$F$5,0,BI125)</f>
        <v>0</v>
      </c>
      <c r="BJ59" s="331">
        <f>+IF(SUM($F125:BI125)&gt;=BJ190*$F$5,0,BJ125)</f>
        <v>0</v>
      </c>
      <c r="BK59" s="331">
        <f>+IF(SUM($F125:BJ125)&gt;=BK190*$F$5,0,BK125)</f>
        <v>0</v>
      </c>
      <c r="BL59" s="331">
        <f>+IF(SUM($F125:BK125)&gt;=BL190*$F$5,0,BL125)</f>
        <v>0</v>
      </c>
      <c r="BM59" s="331">
        <f>+IF(SUM($F125:BL125)&gt;=BM190*$F$5,0,BM125)</f>
        <v>0</v>
      </c>
    </row>
    <row r="60" spans="5:65" ht="15.75">
      <c r="E60" s="416">
        <f t="shared" si="12"/>
        <v>44923</v>
      </c>
      <c r="F60" s="331">
        <f t="shared" si="11"/>
        <v>0</v>
      </c>
      <c r="G60" s="331">
        <f>+IF(SUM($F126:F126)&gt;=G191*$F$5,0,G126)</f>
        <v>0</v>
      </c>
      <c r="H60" s="331">
        <f>+IF(SUM($F126:G126)&gt;=H191*$F$5,0,H126)</f>
        <v>0</v>
      </c>
      <c r="I60" s="331">
        <f>+IF(SUM($F126:H126)&gt;=I191*$F$5,0,I126)</f>
        <v>0</v>
      </c>
      <c r="J60" s="331">
        <f>+IF(SUM($F126:I126)&gt;=J191*$F$5,0,J126)</f>
        <v>0</v>
      </c>
      <c r="K60" s="331">
        <f>+IF(SUM($F126:J126)&gt;=K191*$F$5,0,K126)</f>
        <v>0</v>
      </c>
      <c r="L60" s="331">
        <f>+IF(SUM($F126:K126)&gt;=L191*$F$5,0,L126)</f>
        <v>0</v>
      </c>
      <c r="M60" s="331">
        <f>+IF(SUM($F126:L126)&gt;=M191*$F$5,0,M126)</f>
        <v>0</v>
      </c>
      <c r="N60" s="331">
        <f>+IF(SUM($F126:M126)&gt;=N191*$F$5,0,N126)</f>
        <v>0</v>
      </c>
      <c r="O60" s="331">
        <f>+IF(SUM($F126:N126)&gt;=O191*$F$5,0,O126)</f>
        <v>0</v>
      </c>
      <c r="P60" s="331">
        <f>+IF(SUM($F126:O126)&gt;=P191*$F$5,0,P126)</f>
        <v>0</v>
      </c>
      <c r="Q60" s="331">
        <f>+IF(SUM($F126:P126)&gt;=Q191*$F$5,0,Q126)</f>
        <v>0</v>
      </c>
      <c r="R60" s="331">
        <f>+IF(SUM($F126:Q126)&gt;=R191*$F$5,0,R126)</f>
        <v>0</v>
      </c>
      <c r="S60" s="331">
        <f>+IF(SUM($F126:R126)&gt;=S191*$F$5,0,S126)</f>
        <v>0</v>
      </c>
      <c r="T60" s="331">
        <f>+IF(SUM($F126:S126)&gt;=T191*$F$5,0,T126)</f>
        <v>0</v>
      </c>
      <c r="U60" s="331">
        <f>+IF(SUM($F126:T126)&gt;=U191*$F$5,0,U126)</f>
        <v>0</v>
      </c>
      <c r="V60" s="331">
        <f>+IF(SUM($F126:U126)&gt;=V191*$F$5,0,V126)</f>
        <v>0</v>
      </c>
      <c r="W60" s="331">
        <f>+IF(SUM($F126:V126)&gt;=W191*$F$5,0,W126)</f>
        <v>0</v>
      </c>
      <c r="X60" s="331">
        <f>+IF(SUM($F126:W126)&gt;=X191*$F$5,0,X126)</f>
        <v>0</v>
      </c>
      <c r="Y60" s="331">
        <f>+IF(SUM($F126:X126)&gt;=Y191*$F$5,0,Y126)</f>
        <v>0</v>
      </c>
      <c r="Z60" s="331">
        <f>+IF(SUM($F126:Y126)&gt;=Z191*$F$5,0,Z126)</f>
        <v>0</v>
      </c>
      <c r="AA60" s="331">
        <f>+IF(SUM($F126:Z126)&gt;=AA191*$F$5,0,AA126)</f>
        <v>0</v>
      </c>
      <c r="AB60" s="331">
        <f>+IF(SUM($F126:AA126)&gt;=AB191*$F$5,0,AB126)</f>
        <v>0</v>
      </c>
      <c r="AC60" s="331">
        <f>+IF(SUM($F126:AB126)&gt;=AC191*$F$5,0,AC126)</f>
        <v>0</v>
      </c>
      <c r="AD60" s="331">
        <f>+IF(SUM($F126:AC126)&gt;=AD191*$F$5,0,AD126)</f>
        <v>0</v>
      </c>
      <c r="AE60" s="331">
        <f>+IF(SUM($F126:AD126)&gt;=AE191*$F$5,0,AE126)</f>
        <v>0</v>
      </c>
      <c r="AF60" s="331">
        <f>+IF(SUM($F126:AE126)&gt;=AF191*$F$5,0,AF126)</f>
        <v>0</v>
      </c>
      <c r="AG60" s="331">
        <f>+IF(SUM($F126:AF126)&gt;=AG191*$F$5,0,AG126)</f>
        <v>0</v>
      </c>
      <c r="AH60" s="331">
        <f>+IF(SUM($F126:AG126)&gt;=AH191*$F$5,0,AH126)</f>
        <v>0</v>
      </c>
      <c r="AI60" s="331">
        <f>+IF(SUM($F126:AH126)&gt;=AI191*$F$5,0,AI126)</f>
        <v>0</v>
      </c>
      <c r="AJ60" s="331">
        <f>+IF(SUM($F126:AI126)&gt;=AJ191*$F$5,0,AJ126)</f>
        <v>0</v>
      </c>
      <c r="AK60" s="331">
        <f>+IF(SUM($F126:AJ126)&gt;=AK191*$F$5,0,AK126)</f>
        <v>0</v>
      </c>
      <c r="AL60" s="331">
        <f>+IF(SUM($F126:AK126)&gt;=AL191*$F$5,0,AL126)</f>
        <v>0</v>
      </c>
      <c r="AM60" s="331">
        <f>+IF(SUM($F126:AL126)&gt;=AM191*$F$5,0,AM126)</f>
        <v>0</v>
      </c>
      <c r="AN60" s="331">
        <f>+IF(SUM($F126:AM126)&gt;=AN191*$F$5,0,AN126)</f>
        <v>0</v>
      </c>
      <c r="AO60" s="331">
        <f>+IF(SUM($F126:AN126)&gt;=AO191*$F$5,0,AO126)</f>
        <v>0</v>
      </c>
      <c r="AP60" s="331">
        <f>+IF(SUM($F126:AO126)&gt;=AP191*$F$5,0,AP126)</f>
        <v>0</v>
      </c>
      <c r="AQ60" s="331">
        <f>+IF(SUM($F126:AP126)&gt;=AQ191*$F$5,0,AQ126)</f>
        <v>0</v>
      </c>
      <c r="AR60" s="331">
        <f>+IF(SUM($F126:AQ126)&gt;=AR191*$F$5,0,AR126)</f>
        <v>0</v>
      </c>
      <c r="AS60" s="331">
        <f>+IF(SUM($F126:AR126)&gt;=AS191*$F$5,0,AS126)</f>
        <v>0</v>
      </c>
      <c r="AT60" s="331">
        <f>+IF(SUM($F126:AS126)&gt;=AT191*$F$5,0,AT126)</f>
        <v>0</v>
      </c>
      <c r="AU60" s="331">
        <f>+IF(SUM($F126:AT126)&gt;=AU191*$F$5,0,AU126)</f>
        <v>0</v>
      </c>
      <c r="AV60" s="331">
        <f>+IF(SUM($F126:AU126)&gt;=AV191*$F$5,0,AV126)</f>
        <v>0</v>
      </c>
      <c r="AW60" s="331">
        <f>+IF(SUM($F126:AV126)&gt;=AW191*$F$5,0,AW126)</f>
        <v>0</v>
      </c>
      <c r="AX60" s="331">
        <f>+IF(SUM($F126:AW126)&gt;=AX191*$F$5,0,AX126)</f>
        <v>0</v>
      </c>
      <c r="AY60" s="331">
        <f>+IF(SUM($F126:AX126)&gt;=AY191*$F$5,0,AY126)</f>
        <v>0</v>
      </c>
      <c r="AZ60" s="331">
        <f>+IF(SUM($F126:AY126)&gt;=AZ191*$F$5,0,AZ126)</f>
        <v>0</v>
      </c>
      <c r="BA60" s="331">
        <f>+IF(SUM($F126:AZ126)&gt;=BA191*$F$5,0,BA126)</f>
        <v>0</v>
      </c>
      <c r="BB60" s="331">
        <f>+IF(SUM($F126:BA126)&gt;=BB191*$F$5,0,BB126)</f>
        <v>0</v>
      </c>
      <c r="BC60" s="331">
        <f>+IF(SUM($F126:BB126)&gt;=BC191*$F$5,0,BC126)</f>
        <v>0</v>
      </c>
      <c r="BD60" s="331">
        <f>+IF(SUM($F126:BC126)&gt;=BD191*$F$5,0,BD126)</f>
        <v>0</v>
      </c>
      <c r="BE60" s="331">
        <f>+IF(SUM($F126:BD126)&gt;=BE191*$F$5,0,BE126)</f>
        <v>0</v>
      </c>
      <c r="BF60" s="331">
        <f>+IF(SUM($F126:BE126)&gt;=BF191*$F$5,0,BF126)</f>
        <v>0</v>
      </c>
      <c r="BG60" s="331">
        <f>+IF(SUM($F126:BF126)&gt;=BG191*$F$5,0,BG126)</f>
        <v>0</v>
      </c>
      <c r="BH60" s="331">
        <f>+IF(SUM($F126:BG126)&gt;=BH191*$F$5,0,BH126)</f>
        <v>0</v>
      </c>
      <c r="BI60" s="331">
        <f>+IF(SUM($F126:BH126)&gt;=BI191*$F$5,0,BI126)</f>
        <v>0</v>
      </c>
      <c r="BJ60" s="331">
        <f>+IF(SUM($F126:BI126)&gt;=BJ191*$F$5,0,BJ126)</f>
        <v>0</v>
      </c>
      <c r="BK60" s="331">
        <f>+IF(SUM($F126:BJ126)&gt;=BK191*$F$5,0,BK126)</f>
        <v>0</v>
      </c>
      <c r="BL60" s="331">
        <f>+IF(SUM($F126:BK126)&gt;=BL191*$F$5,0,BL126)</f>
        <v>0</v>
      </c>
      <c r="BM60" s="331">
        <f>+IF(SUM($F126:BL126)&gt;=BM191*$F$5,0,BM126)</f>
        <v>0</v>
      </c>
    </row>
    <row r="61" spans="5:65" ht="15.75">
      <c r="E61" s="416">
        <f t="shared" si="12"/>
        <v>44954</v>
      </c>
      <c r="F61" s="331">
        <f t="shared" si="11"/>
        <v>0</v>
      </c>
      <c r="G61" s="331">
        <f>+IF(SUM($F127:F127)&gt;=G192*$F$5,0,G127)</f>
        <v>0</v>
      </c>
      <c r="H61" s="331">
        <f>+IF(SUM($F127:G127)&gt;=H192*$F$5,0,H127)</f>
        <v>0</v>
      </c>
      <c r="I61" s="331">
        <f>+IF(SUM($F127:H127)&gt;=I192*$F$5,0,I127)</f>
        <v>0</v>
      </c>
      <c r="J61" s="331">
        <f>+IF(SUM($F127:I127)&gt;=J192*$F$5,0,J127)</f>
        <v>0</v>
      </c>
      <c r="K61" s="331">
        <f>+IF(SUM($F127:J127)&gt;=K192*$F$5,0,K127)</f>
        <v>0</v>
      </c>
      <c r="L61" s="331">
        <f>+IF(SUM($F127:K127)&gt;=L192*$F$5,0,L127)</f>
        <v>0</v>
      </c>
      <c r="M61" s="331">
        <f>+IF(SUM($F127:L127)&gt;=M192*$F$5,0,M127)</f>
        <v>0</v>
      </c>
      <c r="N61" s="331">
        <f>+IF(SUM($F127:M127)&gt;=N192*$F$5,0,N127)</f>
        <v>0</v>
      </c>
      <c r="O61" s="331">
        <f>+IF(SUM($F127:N127)&gt;=O192*$F$5,0,O127)</f>
        <v>0</v>
      </c>
      <c r="P61" s="331">
        <f>+IF(SUM($F127:O127)&gt;=P192*$F$5,0,P127)</f>
        <v>0</v>
      </c>
      <c r="Q61" s="331">
        <f>+IF(SUM($F127:P127)&gt;=Q192*$F$5,0,Q127)</f>
        <v>0</v>
      </c>
      <c r="R61" s="331">
        <f>+IF(SUM($F127:Q127)&gt;=R192*$F$5,0,R127)</f>
        <v>0</v>
      </c>
      <c r="S61" s="331">
        <f>+IF(SUM($F127:R127)&gt;=S192*$F$5,0,S127)</f>
        <v>0</v>
      </c>
      <c r="T61" s="331">
        <f>+IF(SUM($F127:S127)&gt;=T192*$F$5,0,T127)</f>
        <v>0</v>
      </c>
      <c r="U61" s="331">
        <f>+IF(SUM($F127:T127)&gt;=U192*$F$5,0,U127)</f>
        <v>0</v>
      </c>
      <c r="V61" s="331">
        <f>+IF(SUM($F127:U127)&gt;=V192*$F$5,0,V127)</f>
        <v>0</v>
      </c>
      <c r="W61" s="331">
        <f>+IF(SUM($F127:V127)&gt;=W192*$F$5,0,W127)</f>
        <v>0</v>
      </c>
      <c r="X61" s="331">
        <f>+IF(SUM($F127:W127)&gt;=X192*$F$5,0,X127)</f>
        <v>0</v>
      </c>
      <c r="Y61" s="331">
        <f>+IF(SUM($F127:X127)&gt;=Y192*$F$5,0,Y127)</f>
        <v>0</v>
      </c>
      <c r="Z61" s="331">
        <f>+IF(SUM($F127:Y127)&gt;=Z192*$F$5,0,Z127)</f>
        <v>0</v>
      </c>
      <c r="AA61" s="331">
        <f>+IF(SUM($F127:Z127)&gt;=AA192*$F$5,0,AA127)</f>
        <v>0</v>
      </c>
      <c r="AB61" s="331">
        <f>+IF(SUM($F127:AA127)&gt;=AB192*$F$5,0,AB127)</f>
        <v>0</v>
      </c>
      <c r="AC61" s="331">
        <f>+IF(SUM($F127:AB127)&gt;=AC192*$F$5,0,AC127)</f>
        <v>0</v>
      </c>
      <c r="AD61" s="331">
        <f>+IF(SUM($F127:AC127)&gt;=AD192*$F$5,0,AD127)</f>
        <v>0</v>
      </c>
      <c r="AE61" s="331">
        <f>+IF(SUM($F127:AD127)&gt;=AE192*$F$5,0,AE127)</f>
        <v>0</v>
      </c>
      <c r="AF61" s="331">
        <f>+IF(SUM($F127:AE127)&gt;=AF192*$F$5,0,AF127)</f>
        <v>0</v>
      </c>
      <c r="AG61" s="331">
        <f>+IF(SUM($F127:AF127)&gt;=AG192*$F$5,0,AG127)</f>
        <v>0</v>
      </c>
      <c r="AH61" s="331">
        <f>+IF(SUM($F127:AG127)&gt;=AH192*$F$5,0,AH127)</f>
        <v>0</v>
      </c>
      <c r="AI61" s="331">
        <f>+IF(SUM($F127:AH127)&gt;=AI192*$F$5,0,AI127)</f>
        <v>0</v>
      </c>
      <c r="AJ61" s="331">
        <f>+IF(SUM($F127:AI127)&gt;=AJ192*$F$5,0,AJ127)</f>
        <v>0</v>
      </c>
      <c r="AK61" s="331">
        <f>+IF(SUM($F127:AJ127)&gt;=AK192*$F$5,0,AK127)</f>
        <v>0</v>
      </c>
      <c r="AL61" s="331">
        <f>+IF(SUM($F127:AK127)&gt;=AL192*$F$5,0,AL127)</f>
        <v>0</v>
      </c>
      <c r="AM61" s="331">
        <f>+IF(SUM($F127:AL127)&gt;=AM192*$F$5,0,AM127)</f>
        <v>0</v>
      </c>
      <c r="AN61" s="331">
        <f>+IF(SUM($F127:AM127)&gt;=AN192*$F$5,0,AN127)</f>
        <v>0</v>
      </c>
      <c r="AO61" s="331">
        <f>+IF(SUM($F127:AN127)&gt;=AO192*$F$5,0,AO127)</f>
        <v>0</v>
      </c>
      <c r="AP61" s="331">
        <f>+IF(SUM($F127:AO127)&gt;=AP192*$F$5,0,AP127)</f>
        <v>0</v>
      </c>
      <c r="AQ61" s="331">
        <f>+IF(SUM($F127:AP127)&gt;=AQ192*$F$5,0,AQ127)</f>
        <v>0</v>
      </c>
      <c r="AR61" s="331">
        <f>+IF(SUM($F127:AQ127)&gt;=AR192*$F$5,0,AR127)</f>
        <v>0</v>
      </c>
      <c r="AS61" s="331">
        <f>+IF(SUM($F127:AR127)&gt;=AS192*$F$5,0,AS127)</f>
        <v>0</v>
      </c>
      <c r="AT61" s="331">
        <f>+IF(SUM($F127:AS127)&gt;=AT192*$F$5,0,AT127)</f>
        <v>0</v>
      </c>
      <c r="AU61" s="331">
        <f>+IF(SUM($F127:AT127)&gt;=AU192*$F$5,0,AU127)</f>
        <v>0</v>
      </c>
      <c r="AV61" s="331">
        <f>+IF(SUM($F127:AU127)&gt;=AV192*$F$5,0,AV127)</f>
        <v>0</v>
      </c>
      <c r="AW61" s="331">
        <f>+IF(SUM($F127:AV127)&gt;=AW192*$F$5,0,AW127)</f>
        <v>0</v>
      </c>
      <c r="AX61" s="331">
        <f>+IF(SUM($F127:AW127)&gt;=AX192*$F$5,0,AX127)</f>
        <v>0</v>
      </c>
      <c r="AY61" s="331">
        <f>+IF(SUM($F127:AX127)&gt;=AY192*$F$5,0,AY127)</f>
        <v>0</v>
      </c>
      <c r="AZ61" s="331">
        <f>+IF(SUM($F127:AY127)&gt;=AZ192*$F$5,0,AZ127)</f>
        <v>0</v>
      </c>
      <c r="BA61" s="331">
        <f>+IF(SUM($F127:AZ127)&gt;=BA192*$F$5,0,BA127)</f>
        <v>0</v>
      </c>
      <c r="BB61" s="331">
        <f>+IF(SUM($F127:BA127)&gt;=BB192*$F$5,0,BB127)</f>
        <v>0</v>
      </c>
      <c r="BC61" s="331">
        <f>+IF(SUM($F127:BB127)&gt;=BC192*$F$5,0,BC127)</f>
        <v>0</v>
      </c>
      <c r="BD61" s="331">
        <f>+IF(SUM($F127:BC127)&gt;=BD192*$F$5,0,BD127)</f>
        <v>0</v>
      </c>
      <c r="BE61" s="331">
        <f>+IF(SUM($F127:BD127)&gt;=BE192*$F$5,0,BE127)</f>
        <v>0</v>
      </c>
      <c r="BF61" s="331">
        <f>+IF(SUM($F127:BE127)&gt;=BF192*$F$5,0,BF127)</f>
        <v>0</v>
      </c>
      <c r="BG61" s="331">
        <f>+IF(SUM($F127:BF127)&gt;=BG192*$F$5,0,BG127)</f>
        <v>0</v>
      </c>
      <c r="BH61" s="331">
        <f>+IF(SUM($F127:BG127)&gt;=BH192*$F$5,0,BH127)</f>
        <v>0</v>
      </c>
      <c r="BI61" s="331">
        <f>+IF(SUM($F127:BH127)&gt;=BI192*$F$5,0,BI127)</f>
        <v>0</v>
      </c>
      <c r="BJ61" s="331">
        <f>+IF(SUM($F127:BI127)&gt;=BJ192*$F$5,0,BJ127)</f>
        <v>0</v>
      </c>
      <c r="BK61" s="331">
        <f>+IF(SUM($F127:BJ127)&gt;=BK192*$F$5,0,BK127)</f>
        <v>0</v>
      </c>
      <c r="BL61" s="331">
        <f>+IF(SUM($F127:BK127)&gt;=BL192*$F$5,0,BL127)</f>
        <v>0</v>
      </c>
      <c r="BM61" s="331">
        <f>+IF(SUM($F127:BL127)&gt;=BM192*$F$5,0,BM127)</f>
        <v>0</v>
      </c>
    </row>
    <row r="62" spans="5:65" ht="15.75">
      <c r="E62" s="416">
        <f t="shared" si="12"/>
        <v>44985</v>
      </c>
      <c r="F62" s="331">
        <f t="shared" si="11"/>
        <v>0</v>
      </c>
      <c r="G62" s="331">
        <f>+IF(SUM($F128:F128)&gt;=G193*$F$5,0,G128)</f>
        <v>0</v>
      </c>
      <c r="H62" s="331">
        <f>+IF(SUM($F128:G128)&gt;=H193*$F$5,0,H128)</f>
        <v>0</v>
      </c>
      <c r="I62" s="331">
        <f>+IF(SUM($F128:H128)&gt;=I193*$F$5,0,I128)</f>
        <v>0</v>
      </c>
      <c r="J62" s="331">
        <f>+IF(SUM($F128:I128)&gt;=J193*$F$5,0,J128)</f>
        <v>0</v>
      </c>
      <c r="K62" s="331">
        <f>+IF(SUM($F128:J128)&gt;=K193*$F$5,0,K128)</f>
        <v>0</v>
      </c>
      <c r="L62" s="331">
        <f>+IF(SUM($F128:K128)&gt;=L193*$F$5,0,L128)</f>
        <v>0</v>
      </c>
      <c r="M62" s="331">
        <f>+IF(SUM($F128:L128)&gt;=M193*$F$5,0,M128)</f>
        <v>0</v>
      </c>
      <c r="N62" s="331">
        <f>+IF(SUM($F128:M128)&gt;=N193*$F$5,0,N128)</f>
        <v>0</v>
      </c>
      <c r="O62" s="331">
        <f>+IF(SUM($F128:N128)&gt;=O193*$F$5,0,O128)</f>
        <v>0</v>
      </c>
      <c r="P62" s="331">
        <f>+IF(SUM($F128:O128)&gt;=P193*$F$5,0,P128)</f>
        <v>0</v>
      </c>
      <c r="Q62" s="331">
        <f>+IF(SUM($F128:P128)&gt;=Q193*$F$5,0,Q128)</f>
        <v>0</v>
      </c>
      <c r="R62" s="331">
        <f>+IF(SUM($F128:Q128)&gt;=R193*$F$5,0,R128)</f>
        <v>0</v>
      </c>
      <c r="S62" s="331">
        <f>+IF(SUM($F128:R128)&gt;=S193*$F$5,0,S128)</f>
        <v>0</v>
      </c>
      <c r="T62" s="331">
        <f>+IF(SUM($F128:S128)&gt;=T193*$F$5,0,T128)</f>
        <v>0</v>
      </c>
      <c r="U62" s="331">
        <f>+IF(SUM($F128:T128)&gt;=U193*$F$5,0,U128)</f>
        <v>0</v>
      </c>
      <c r="V62" s="331">
        <f>+IF(SUM($F128:U128)&gt;=V193*$F$5,0,V128)</f>
        <v>0</v>
      </c>
      <c r="W62" s="331">
        <f>+IF(SUM($F128:V128)&gt;=W193*$F$5,0,W128)</f>
        <v>0</v>
      </c>
      <c r="X62" s="331">
        <f>+IF(SUM($F128:W128)&gt;=X193*$F$5,0,X128)</f>
        <v>0</v>
      </c>
      <c r="Y62" s="331">
        <f>+IF(SUM($F128:X128)&gt;=Y193*$F$5,0,Y128)</f>
        <v>0</v>
      </c>
      <c r="Z62" s="331">
        <f>+IF(SUM($F128:Y128)&gt;=Z193*$F$5,0,Z128)</f>
        <v>0</v>
      </c>
      <c r="AA62" s="331">
        <f>+IF(SUM($F128:Z128)&gt;=AA193*$F$5,0,AA128)</f>
        <v>0</v>
      </c>
      <c r="AB62" s="331">
        <f>+IF(SUM($F128:AA128)&gt;=AB193*$F$5,0,AB128)</f>
        <v>0</v>
      </c>
      <c r="AC62" s="331">
        <f>+IF(SUM($F128:AB128)&gt;=AC193*$F$5,0,AC128)</f>
        <v>0</v>
      </c>
      <c r="AD62" s="331">
        <f>+IF(SUM($F128:AC128)&gt;=AD193*$F$5,0,AD128)</f>
        <v>0</v>
      </c>
      <c r="AE62" s="331">
        <f>+IF(SUM($F128:AD128)&gt;=AE193*$F$5,0,AE128)</f>
        <v>0</v>
      </c>
      <c r="AF62" s="331">
        <f>+IF(SUM($F128:AE128)&gt;=AF193*$F$5,0,AF128)</f>
        <v>0</v>
      </c>
      <c r="AG62" s="331">
        <f>+IF(SUM($F128:AF128)&gt;=AG193*$F$5,0,AG128)</f>
        <v>0</v>
      </c>
      <c r="AH62" s="331">
        <f>+IF(SUM($F128:AG128)&gt;=AH193*$F$5,0,AH128)</f>
        <v>0</v>
      </c>
      <c r="AI62" s="331">
        <f>+IF(SUM($F128:AH128)&gt;=AI193*$F$5,0,AI128)</f>
        <v>0</v>
      </c>
      <c r="AJ62" s="331">
        <f>+IF(SUM($F128:AI128)&gt;=AJ193*$F$5,0,AJ128)</f>
        <v>0</v>
      </c>
      <c r="AK62" s="331">
        <f>+IF(SUM($F128:AJ128)&gt;=AK193*$F$5,0,AK128)</f>
        <v>0</v>
      </c>
      <c r="AL62" s="331">
        <f>+IF(SUM($F128:AK128)&gt;=AL193*$F$5,0,AL128)</f>
        <v>0</v>
      </c>
      <c r="AM62" s="331">
        <f>+IF(SUM($F128:AL128)&gt;=AM193*$F$5,0,AM128)</f>
        <v>0</v>
      </c>
      <c r="AN62" s="331">
        <f>+IF(SUM($F128:AM128)&gt;=AN193*$F$5,0,AN128)</f>
        <v>0</v>
      </c>
      <c r="AO62" s="331">
        <f>+IF(SUM($F128:AN128)&gt;=AO193*$F$5,0,AO128)</f>
        <v>0</v>
      </c>
      <c r="AP62" s="331">
        <f>+IF(SUM($F128:AO128)&gt;=AP193*$F$5,0,AP128)</f>
        <v>0</v>
      </c>
      <c r="AQ62" s="331">
        <f>+IF(SUM($F128:AP128)&gt;=AQ193*$F$5,0,AQ128)</f>
        <v>0</v>
      </c>
      <c r="AR62" s="331">
        <f>+IF(SUM($F128:AQ128)&gt;=AR193*$F$5,0,AR128)</f>
        <v>0</v>
      </c>
      <c r="AS62" s="331">
        <f>+IF(SUM($F128:AR128)&gt;=AS193*$F$5,0,AS128)</f>
        <v>0</v>
      </c>
      <c r="AT62" s="331">
        <f>+IF(SUM($F128:AS128)&gt;=AT193*$F$5,0,AT128)</f>
        <v>0</v>
      </c>
      <c r="AU62" s="331">
        <f>+IF(SUM($F128:AT128)&gt;=AU193*$F$5,0,AU128)</f>
        <v>0</v>
      </c>
      <c r="AV62" s="331">
        <f>+IF(SUM($F128:AU128)&gt;=AV193*$F$5,0,AV128)</f>
        <v>0</v>
      </c>
      <c r="AW62" s="331">
        <f>+IF(SUM($F128:AV128)&gt;=AW193*$F$5,0,AW128)</f>
        <v>0</v>
      </c>
      <c r="AX62" s="331">
        <f>+IF(SUM($F128:AW128)&gt;=AX193*$F$5,0,AX128)</f>
        <v>0</v>
      </c>
      <c r="AY62" s="331">
        <f>+IF(SUM($F128:AX128)&gt;=AY193*$F$5,0,AY128)</f>
        <v>0</v>
      </c>
      <c r="AZ62" s="331">
        <f>+IF(SUM($F128:AY128)&gt;=AZ193*$F$5,0,AZ128)</f>
        <v>0</v>
      </c>
      <c r="BA62" s="331">
        <f>+IF(SUM($F128:AZ128)&gt;=BA193*$F$5,0,BA128)</f>
        <v>0</v>
      </c>
      <c r="BB62" s="331">
        <f>+IF(SUM($F128:BA128)&gt;=BB193*$F$5,0,BB128)</f>
        <v>0</v>
      </c>
      <c r="BC62" s="331">
        <f>+IF(SUM($F128:BB128)&gt;=BC193*$F$5,0,BC128)</f>
        <v>0</v>
      </c>
      <c r="BD62" s="331">
        <f>+IF(SUM($F128:BC128)&gt;=BD193*$F$5,0,BD128)</f>
        <v>0</v>
      </c>
      <c r="BE62" s="331">
        <f>+IF(SUM($F128:BD128)&gt;=BE193*$F$5,0,BE128)</f>
        <v>0</v>
      </c>
      <c r="BF62" s="331">
        <f>+IF(SUM($F128:BE128)&gt;=BF193*$F$5,0,BF128)</f>
        <v>0</v>
      </c>
      <c r="BG62" s="331">
        <f>+IF(SUM($F128:BF128)&gt;=BG193*$F$5,0,BG128)</f>
        <v>0</v>
      </c>
      <c r="BH62" s="331">
        <f>+IF(SUM($F128:BG128)&gt;=BH193*$F$5,0,BH128)</f>
        <v>0</v>
      </c>
      <c r="BI62" s="331">
        <f>+IF(SUM($F128:BH128)&gt;=BI193*$F$5,0,BI128)</f>
        <v>0</v>
      </c>
      <c r="BJ62" s="331">
        <f>+IF(SUM($F128:BI128)&gt;=BJ193*$F$5,0,BJ128)</f>
        <v>0</v>
      </c>
      <c r="BK62" s="331">
        <f>+IF(SUM($F128:BJ128)&gt;=BK193*$F$5,0,BK128)</f>
        <v>0</v>
      </c>
      <c r="BL62" s="331">
        <f>+IF(SUM($F128:BK128)&gt;=BL193*$F$5,0,BL128)</f>
        <v>0</v>
      </c>
      <c r="BM62" s="331">
        <f>+IF(SUM($F128:BL128)&gt;=BM193*$F$5,0,BM128)</f>
        <v>0</v>
      </c>
    </row>
    <row r="63" spans="5:65" ht="15.75">
      <c r="E63" s="416">
        <f t="shared" si="12"/>
        <v>45016</v>
      </c>
      <c r="F63" s="331">
        <f t="shared" si="11"/>
        <v>0</v>
      </c>
      <c r="G63" s="331">
        <f>+IF(SUM($F129:F129)&gt;=G194*$F$5,0,G129)</f>
        <v>0</v>
      </c>
      <c r="H63" s="331">
        <f>+IF(SUM($F129:G129)&gt;=H194*$F$5,0,H129)</f>
        <v>0</v>
      </c>
      <c r="I63" s="331">
        <f>+IF(SUM($F129:H129)&gt;=I194*$F$5,0,I129)</f>
        <v>0</v>
      </c>
      <c r="J63" s="331">
        <f>+IF(SUM($F129:I129)&gt;=J194*$F$5,0,J129)</f>
        <v>0</v>
      </c>
      <c r="K63" s="331">
        <f>+IF(SUM($F129:J129)&gt;=K194*$F$5,0,K129)</f>
        <v>0</v>
      </c>
      <c r="L63" s="331">
        <f>+IF(SUM($F129:K129)&gt;=L194*$F$5,0,L129)</f>
        <v>0</v>
      </c>
      <c r="M63" s="331">
        <f>+IF(SUM($F129:L129)&gt;=M194*$F$5,0,M129)</f>
        <v>0</v>
      </c>
      <c r="N63" s="331">
        <f>+IF(SUM($F129:M129)&gt;=N194*$F$5,0,N129)</f>
        <v>0</v>
      </c>
      <c r="O63" s="331">
        <f>+IF(SUM($F129:N129)&gt;=O194*$F$5,0,O129)</f>
        <v>0</v>
      </c>
      <c r="P63" s="331">
        <f>+IF(SUM($F129:O129)&gt;=P194*$F$5,0,P129)</f>
        <v>0</v>
      </c>
      <c r="Q63" s="331">
        <f>+IF(SUM($F129:P129)&gt;=Q194*$F$5,0,Q129)</f>
        <v>0</v>
      </c>
      <c r="R63" s="331">
        <f>+IF(SUM($F129:Q129)&gt;=R194*$F$5,0,R129)</f>
        <v>0</v>
      </c>
      <c r="S63" s="331">
        <f>+IF(SUM($F129:R129)&gt;=S194*$F$5,0,S129)</f>
        <v>0</v>
      </c>
      <c r="T63" s="331">
        <f>+IF(SUM($F129:S129)&gt;=T194*$F$5,0,T129)</f>
        <v>0</v>
      </c>
      <c r="U63" s="331">
        <f>+IF(SUM($F129:T129)&gt;=U194*$F$5,0,U129)</f>
        <v>0</v>
      </c>
      <c r="V63" s="331">
        <f>+IF(SUM($F129:U129)&gt;=V194*$F$5,0,V129)</f>
        <v>0</v>
      </c>
      <c r="W63" s="331">
        <f>+IF(SUM($F129:V129)&gt;=W194*$F$5,0,W129)</f>
        <v>0</v>
      </c>
      <c r="X63" s="331">
        <f>+IF(SUM($F129:W129)&gt;=X194*$F$5,0,X129)</f>
        <v>0</v>
      </c>
      <c r="Y63" s="331">
        <f>+IF(SUM($F129:X129)&gt;=Y194*$F$5,0,Y129)</f>
        <v>0</v>
      </c>
      <c r="Z63" s="331">
        <f>+IF(SUM($F129:Y129)&gt;=Z194*$F$5,0,Z129)</f>
        <v>0</v>
      </c>
      <c r="AA63" s="331">
        <f>+IF(SUM($F129:Z129)&gt;=AA194*$F$5,0,AA129)</f>
        <v>0</v>
      </c>
      <c r="AB63" s="331">
        <f>+IF(SUM($F129:AA129)&gt;=AB194*$F$5,0,AB129)</f>
        <v>0</v>
      </c>
      <c r="AC63" s="331">
        <f>+IF(SUM($F129:AB129)&gt;=AC194*$F$5,0,AC129)</f>
        <v>0</v>
      </c>
      <c r="AD63" s="331">
        <f>+IF(SUM($F129:AC129)&gt;=AD194*$F$5,0,AD129)</f>
        <v>0</v>
      </c>
      <c r="AE63" s="331">
        <f>+IF(SUM($F129:AD129)&gt;=AE194*$F$5,0,AE129)</f>
        <v>0</v>
      </c>
      <c r="AF63" s="331">
        <f>+IF(SUM($F129:AE129)&gt;=AF194*$F$5,0,AF129)</f>
        <v>0</v>
      </c>
      <c r="AG63" s="331">
        <f>+IF(SUM($F129:AF129)&gt;=AG194*$F$5,0,AG129)</f>
        <v>0</v>
      </c>
      <c r="AH63" s="331">
        <f>+IF(SUM($F129:AG129)&gt;=AH194*$F$5,0,AH129)</f>
        <v>0</v>
      </c>
      <c r="AI63" s="331">
        <f>+IF(SUM($F129:AH129)&gt;=AI194*$F$5,0,AI129)</f>
        <v>0</v>
      </c>
      <c r="AJ63" s="331">
        <f>+IF(SUM($F129:AI129)&gt;=AJ194*$F$5,0,AJ129)</f>
        <v>0</v>
      </c>
      <c r="AK63" s="331">
        <f>+IF(SUM($F129:AJ129)&gt;=AK194*$F$5,0,AK129)</f>
        <v>0</v>
      </c>
      <c r="AL63" s="331">
        <f>+IF(SUM($F129:AK129)&gt;=AL194*$F$5,0,AL129)</f>
        <v>0</v>
      </c>
      <c r="AM63" s="331">
        <f>+IF(SUM($F129:AL129)&gt;=AM194*$F$5,0,AM129)</f>
        <v>0</v>
      </c>
      <c r="AN63" s="331">
        <f>+IF(SUM($F129:AM129)&gt;=AN194*$F$5,0,AN129)</f>
        <v>0</v>
      </c>
      <c r="AO63" s="331">
        <f>+IF(SUM($F129:AN129)&gt;=AO194*$F$5,0,AO129)</f>
        <v>0</v>
      </c>
      <c r="AP63" s="331">
        <f>+IF(SUM($F129:AO129)&gt;=AP194*$F$5,0,AP129)</f>
        <v>0</v>
      </c>
      <c r="AQ63" s="331">
        <f>+IF(SUM($F129:AP129)&gt;=AQ194*$F$5,0,AQ129)</f>
        <v>0</v>
      </c>
      <c r="AR63" s="331">
        <f>+IF(SUM($F129:AQ129)&gt;=AR194*$F$5,0,AR129)</f>
        <v>0</v>
      </c>
      <c r="AS63" s="331">
        <f>+IF(SUM($F129:AR129)&gt;=AS194*$F$5,0,AS129)</f>
        <v>0</v>
      </c>
      <c r="AT63" s="331">
        <f>+IF(SUM($F129:AS129)&gt;=AT194*$F$5,0,AT129)</f>
        <v>0</v>
      </c>
      <c r="AU63" s="331">
        <f>+IF(SUM($F129:AT129)&gt;=AU194*$F$5,0,AU129)</f>
        <v>0</v>
      </c>
      <c r="AV63" s="331">
        <f>+IF(SUM($F129:AU129)&gt;=AV194*$F$5,0,AV129)</f>
        <v>0</v>
      </c>
      <c r="AW63" s="331">
        <f>+IF(SUM($F129:AV129)&gt;=AW194*$F$5,0,AW129)</f>
        <v>0</v>
      </c>
      <c r="AX63" s="331">
        <f>+IF(SUM($F129:AW129)&gt;=AX194*$F$5,0,AX129)</f>
        <v>0</v>
      </c>
      <c r="AY63" s="331">
        <f>+IF(SUM($F129:AX129)&gt;=AY194*$F$5,0,AY129)</f>
        <v>0</v>
      </c>
      <c r="AZ63" s="331">
        <f>+IF(SUM($F129:AY129)&gt;=AZ194*$F$5,0,AZ129)</f>
        <v>0</v>
      </c>
      <c r="BA63" s="331">
        <f>+IF(SUM($F129:AZ129)&gt;=BA194*$F$5,0,BA129)</f>
        <v>0</v>
      </c>
      <c r="BB63" s="331">
        <f>+IF(SUM($F129:BA129)&gt;=BB194*$F$5,0,BB129)</f>
        <v>0</v>
      </c>
      <c r="BC63" s="331">
        <f>+IF(SUM($F129:BB129)&gt;=BC194*$F$5,0,BC129)</f>
        <v>0</v>
      </c>
      <c r="BD63" s="331">
        <f>+IF(SUM($F129:BC129)&gt;=BD194*$F$5,0,BD129)</f>
        <v>0</v>
      </c>
      <c r="BE63" s="331">
        <f>+IF(SUM($F129:BD129)&gt;=BE194*$F$5,0,BE129)</f>
        <v>0</v>
      </c>
      <c r="BF63" s="331">
        <f>+IF(SUM($F129:BE129)&gt;=BF194*$F$5,0,BF129)</f>
        <v>0</v>
      </c>
      <c r="BG63" s="331">
        <f>+IF(SUM($F129:BF129)&gt;=BG194*$F$5,0,BG129)</f>
        <v>0</v>
      </c>
      <c r="BH63" s="331">
        <f>+IF(SUM($F129:BG129)&gt;=BH194*$F$5,0,BH129)</f>
        <v>0</v>
      </c>
      <c r="BI63" s="331">
        <f>+IF(SUM($F129:BH129)&gt;=BI194*$F$5,0,BI129)</f>
        <v>0</v>
      </c>
      <c r="BJ63" s="331">
        <f>+IF(SUM($F129:BI129)&gt;=BJ194*$F$5,0,BJ129)</f>
        <v>0</v>
      </c>
      <c r="BK63" s="331">
        <f>+IF(SUM($F129:BJ129)&gt;=BK194*$F$5,0,BK129)</f>
        <v>0</v>
      </c>
      <c r="BL63" s="331">
        <f>+IF(SUM($F129:BK129)&gt;=BL194*$F$5,0,BL129)</f>
        <v>0</v>
      </c>
      <c r="BM63" s="331">
        <f>+IF(SUM($F129:BL129)&gt;=BM194*$F$5,0,BM129)</f>
        <v>0</v>
      </c>
    </row>
    <row r="64" spans="5:65" ht="15.75">
      <c r="E64" s="416">
        <f>+E63+10</f>
        <v>45026</v>
      </c>
      <c r="F64" s="331">
        <f t="shared" si="11"/>
        <v>0</v>
      </c>
      <c r="G64" s="331">
        <f>+IF(SUM($F130:F130)&gt;=G195*$F$5,0,G130)</f>
        <v>0</v>
      </c>
      <c r="H64" s="331">
        <f>+IF(SUM($F130:G130)&gt;=H195*$F$5,0,H130)</f>
        <v>0</v>
      </c>
      <c r="I64" s="331">
        <f>+IF(SUM($F130:H130)&gt;=I195*$F$5,0,I130)</f>
        <v>0</v>
      </c>
      <c r="J64" s="331">
        <f>+IF(SUM($F130:I130)&gt;=J195*$F$5,0,J130)</f>
        <v>0</v>
      </c>
      <c r="K64" s="331">
        <f>+IF(SUM($F130:J130)&gt;=K195*$F$5,0,K130)</f>
        <v>0</v>
      </c>
      <c r="L64" s="331">
        <f>+IF(SUM($F130:K130)&gt;=L195*$F$5,0,L130)</f>
        <v>0</v>
      </c>
      <c r="M64" s="331">
        <f>+IF(SUM($F130:L130)&gt;=M195*$F$5,0,M130)</f>
        <v>0</v>
      </c>
      <c r="N64" s="331">
        <f>+IF(SUM($F130:M130)&gt;=N195*$F$5,0,N130)</f>
        <v>0</v>
      </c>
      <c r="O64" s="331">
        <f>+IF(SUM($F130:N130)&gt;=O195*$F$5,0,O130)</f>
        <v>0</v>
      </c>
      <c r="P64" s="331">
        <f>+IF(SUM($F130:O130)&gt;=P195*$F$5,0,P130)</f>
        <v>0</v>
      </c>
      <c r="Q64" s="331">
        <f>+IF(SUM($F130:P130)&gt;=Q195*$F$5,0,Q130)</f>
        <v>0</v>
      </c>
      <c r="R64" s="331">
        <f>+IF(SUM($F130:Q130)&gt;=R195*$F$5,0,R130)</f>
        <v>0</v>
      </c>
      <c r="S64" s="331">
        <f>+IF(SUM($F130:R130)&gt;=S195*$F$5,0,S130)</f>
        <v>0</v>
      </c>
      <c r="T64" s="331">
        <f>+IF(SUM($F130:S130)&gt;=T195*$F$5,0,T130)</f>
        <v>0</v>
      </c>
      <c r="U64" s="331">
        <f>+IF(SUM($F130:T130)&gt;=U195*$F$5,0,U130)</f>
        <v>0</v>
      </c>
      <c r="V64" s="331">
        <f>+IF(SUM($F130:U130)&gt;=V195*$F$5,0,V130)</f>
        <v>0</v>
      </c>
      <c r="W64" s="331">
        <f>+IF(SUM($F130:V130)&gt;=W195*$F$5,0,W130)</f>
        <v>0</v>
      </c>
      <c r="X64" s="331">
        <f>+IF(SUM($F130:W130)&gt;=X195*$F$5,0,X130)</f>
        <v>0</v>
      </c>
      <c r="Y64" s="331">
        <f>+IF(SUM($F130:X130)&gt;=Y195*$F$5,0,Y130)</f>
        <v>0</v>
      </c>
      <c r="Z64" s="331">
        <f>+IF(SUM($F130:Y130)&gt;=Z195*$F$5,0,Z130)</f>
        <v>0</v>
      </c>
      <c r="AA64" s="331">
        <f>+IF(SUM($F130:Z130)&gt;=AA195*$F$5,0,AA130)</f>
        <v>0</v>
      </c>
      <c r="AB64" s="331">
        <f>+IF(SUM($F130:AA130)&gt;=AB195*$F$5,0,AB130)</f>
        <v>0</v>
      </c>
      <c r="AC64" s="331">
        <f>+IF(SUM($F130:AB130)&gt;=AC195*$F$5,0,AC130)</f>
        <v>0</v>
      </c>
      <c r="AD64" s="331">
        <f>+IF(SUM($F130:AC130)&gt;=AD195*$F$5,0,AD130)</f>
        <v>0</v>
      </c>
      <c r="AE64" s="331">
        <f>+IF(SUM($F130:AD130)&gt;=AE195*$F$5,0,AE130)</f>
        <v>0</v>
      </c>
      <c r="AF64" s="331">
        <f>+IF(SUM($F130:AE130)&gt;=AF195*$F$5,0,AF130)</f>
        <v>0</v>
      </c>
      <c r="AG64" s="331">
        <f>+IF(SUM($F130:AF130)&gt;=AG195*$F$5,0,AG130)</f>
        <v>0</v>
      </c>
      <c r="AH64" s="331">
        <f>+IF(SUM($F130:AG130)&gt;=AH195*$F$5,0,AH130)</f>
        <v>0</v>
      </c>
      <c r="AI64" s="331">
        <f>+IF(SUM($F130:AH130)&gt;=AI195*$F$5,0,AI130)</f>
        <v>0</v>
      </c>
      <c r="AJ64" s="331">
        <f>+IF(SUM($F130:AI130)&gt;=AJ195*$F$5,0,AJ130)</f>
        <v>0</v>
      </c>
      <c r="AK64" s="331">
        <f>+IF(SUM($F130:AJ130)&gt;=AK195*$F$5,0,AK130)</f>
        <v>0</v>
      </c>
      <c r="AL64" s="331">
        <f>+IF(SUM($F130:AK130)&gt;=AL195*$F$5,0,AL130)</f>
        <v>0</v>
      </c>
      <c r="AM64" s="331">
        <f>+IF(SUM($F130:AL130)&gt;=AM195*$F$5,0,AM130)</f>
        <v>0</v>
      </c>
      <c r="AN64" s="331">
        <f>+IF(SUM($F130:AM130)&gt;=AN195*$F$5,0,AN130)</f>
        <v>0</v>
      </c>
      <c r="AO64" s="331">
        <f>+IF(SUM($F130:AN130)&gt;=AO195*$F$5,0,AO130)</f>
        <v>0</v>
      </c>
      <c r="AP64" s="331">
        <f>+IF(SUM($F130:AO130)&gt;=AP195*$F$5,0,AP130)</f>
        <v>0</v>
      </c>
      <c r="AQ64" s="331">
        <f>+IF(SUM($F130:AP130)&gt;=AQ195*$F$5,0,AQ130)</f>
        <v>0</v>
      </c>
      <c r="AR64" s="331">
        <f>+IF(SUM($F130:AQ130)&gt;=AR195*$F$5,0,AR130)</f>
        <v>0</v>
      </c>
      <c r="AS64" s="331">
        <f>+IF(SUM($F130:AR130)&gt;=AS195*$F$5,0,AS130)</f>
        <v>0</v>
      </c>
      <c r="AT64" s="331">
        <f>+IF(SUM($F130:AS130)&gt;=AT195*$F$5,0,AT130)</f>
        <v>0</v>
      </c>
      <c r="AU64" s="331">
        <f>+IF(SUM($F130:AT130)&gt;=AU195*$F$5,0,AU130)</f>
        <v>0</v>
      </c>
      <c r="AV64" s="331">
        <f>+IF(SUM($F130:AU130)&gt;=AV195*$F$5,0,AV130)</f>
        <v>0</v>
      </c>
      <c r="AW64" s="331">
        <f>+IF(SUM($F130:AV130)&gt;=AW195*$F$5,0,AW130)</f>
        <v>0</v>
      </c>
      <c r="AX64" s="331">
        <f>+IF(SUM($F130:AW130)&gt;=AX195*$F$5,0,AX130)</f>
        <v>0</v>
      </c>
      <c r="AY64" s="331">
        <f>+IF(SUM($F130:AX130)&gt;=AY195*$F$5,0,AY130)</f>
        <v>0</v>
      </c>
      <c r="AZ64" s="331">
        <f>+IF(SUM($F130:AY130)&gt;=AZ195*$F$5,0,AZ130)</f>
        <v>0</v>
      </c>
      <c r="BA64" s="331">
        <f>+IF(SUM($F130:AZ130)&gt;=BA195*$F$5,0,BA130)</f>
        <v>0</v>
      </c>
      <c r="BB64" s="331">
        <f>+IF(SUM($F130:BA130)&gt;=BB195*$F$5,0,BB130)</f>
        <v>0</v>
      </c>
      <c r="BC64" s="331">
        <f>+IF(SUM($F130:BB130)&gt;=BC195*$F$5,0,BC130)</f>
        <v>0</v>
      </c>
      <c r="BD64" s="331">
        <f>+IF(SUM($F130:BC130)&gt;=BD195*$F$5,0,BD130)</f>
        <v>0</v>
      </c>
      <c r="BE64" s="331">
        <f>+IF(SUM($F130:BD130)&gt;=BE195*$F$5,0,BE130)</f>
        <v>0</v>
      </c>
      <c r="BF64" s="331">
        <f>+IF(SUM($F130:BE130)&gt;=BF195*$F$5,0,BF130)</f>
        <v>0</v>
      </c>
      <c r="BG64" s="331">
        <f>+IF(SUM($F130:BF130)&gt;=BG195*$F$5,0,BG130)</f>
        <v>0</v>
      </c>
      <c r="BH64" s="331">
        <f>+IF(SUM($F130:BG130)&gt;=BH195*$F$5,0,BH130)</f>
        <v>0</v>
      </c>
      <c r="BI64" s="331">
        <f>+IF(SUM($F130:BH130)&gt;=BI195*$F$5,0,BI130)</f>
        <v>0</v>
      </c>
      <c r="BJ64" s="331">
        <f>+IF(SUM($F130:BI130)&gt;=BJ195*$F$5,0,BJ130)</f>
        <v>0</v>
      </c>
      <c r="BK64" s="331">
        <f>+IF(SUM($F130:BJ130)&gt;=BK195*$F$5,0,BK130)</f>
        <v>0</v>
      </c>
      <c r="BL64" s="331">
        <f>+IF(SUM($F130:BK130)&gt;=BL195*$F$5,0,BL130)</f>
        <v>0</v>
      </c>
      <c r="BM64" s="331">
        <f>+IF(SUM($F130:BL130)&gt;=BM195*$F$5,0,BM130)</f>
        <v>0</v>
      </c>
    </row>
    <row r="65" spans="5:65" ht="15.75">
      <c r="E65" s="416">
        <f t="shared" si="12"/>
        <v>45057</v>
      </c>
      <c r="F65" s="331">
        <f t="shared" si="11"/>
        <v>0</v>
      </c>
      <c r="G65" s="331">
        <f>+IF(SUM($F131:F131)&gt;=G196*$F$5,0,G131)</f>
        <v>0</v>
      </c>
      <c r="H65" s="331">
        <f>+IF(SUM($F131:G131)&gt;=H196*$F$5,0,H131)</f>
        <v>0</v>
      </c>
      <c r="I65" s="331">
        <f>+IF(SUM($F131:H131)&gt;=I196*$F$5,0,I131)</f>
        <v>0</v>
      </c>
      <c r="J65" s="331">
        <f>+IF(SUM($F131:I131)&gt;=J196*$F$5,0,J131)</f>
        <v>0</v>
      </c>
      <c r="K65" s="331">
        <f>+IF(SUM($F131:J131)&gt;=K196*$F$5,0,K131)</f>
        <v>0</v>
      </c>
      <c r="L65" s="331">
        <f>+IF(SUM($F131:K131)&gt;=L196*$F$5,0,L131)</f>
        <v>0</v>
      </c>
      <c r="M65" s="331">
        <f>+IF(SUM($F131:L131)&gt;=M196*$F$5,0,M131)</f>
        <v>0</v>
      </c>
      <c r="N65" s="331">
        <f>+IF(SUM($F131:M131)&gt;=N196*$F$5,0,N131)</f>
        <v>0</v>
      </c>
      <c r="O65" s="331">
        <f>+IF(SUM($F131:N131)&gt;=O196*$F$5,0,O131)</f>
        <v>0</v>
      </c>
      <c r="P65" s="331">
        <f>+IF(SUM($F131:O131)&gt;=P196*$F$5,0,P131)</f>
        <v>0</v>
      </c>
      <c r="Q65" s="331">
        <f>+IF(SUM($F131:P131)&gt;=Q196*$F$5,0,Q131)</f>
        <v>0</v>
      </c>
      <c r="R65" s="331">
        <f>+IF(SUM($F131:Q131)&gt;=R196*$F$5,0,R131)</f>
        <v>0</v>
      </c>
      <c r="S65" s="331">
        <f>+IF(SUM($F131:R131)&gt;=S196*$F$5,0,S131)</f>
        <v>0</v>
      </c>
      <c r="T65" s="331">
        <f>+IF(SUM($F131:S131)&gt;=T196*$F$5,0,T131)</f>
        <v>0</v>
      </c>
      <c r="U65" s="331">
        <f>+IF(SUM($F131:T131)&gt;=U196*$F$5,0,U131)</f>
        <v>0</v>
      </c>
      <c r="V65" s="331">
        <f>+IF(SUM($F131:U131)&gt;=V196*$F$5,0,V131)</f>
        <v>0</v>
      </c>
      <c r="W65" s="331">
        <f>+IF(SUM($F131:V131)&gt;=W196*$F$5,0,W131)</f>
        <v>0</v>
      </c>
      <c r="X65" s="331">
        <f>+IF(SUM($F131:W131)&gt;=X196*$F$5,0,X131)</f>
        <v>0</v>
      </c>
      <c r="Y65" s="331">
        <f>+IF(SUM($F131:X131)&gt;=Y196*$F$5,0,Y131)</f>
        <v>0</v>
      </c>
      <c r="Z65" s="331">
        <f>+IF(SUM($F131:Y131)&gt;=Z196*$F$5,0,Z131)</f>
        <v>0</v>
      </c>
      <c r="AA65" s="331">
        <f>+IF(SUM($F131:Z131)&gt;=AA196*$F$5,0,AA131)</f>
        <v>0</v>
      </c>
      <c r="AB65" s="331">
        <f>+IF(SUM($F131:AA131)&gt;=AB196*$F$5,0,AB131)</f>
        <v>0</v>
      </c>
      <c r="AC65" s="331">
        <f>+IF(SUM($F131:AB131)&gt;=AC196*$F$5,0,AC131)</f>
        <v>0</v>
      </c>
      <c r="AD65" s="331">
        <f>+IF(SUM($F131:AC131)&gt;=AD196*$F$5,0,AD131)</f>
        <v>0</v>
      </c>
      <c r="AE65" s="331">
        <f>+IF(SUM($F131:AD131)&gt;=AE196*$F$5,0,AE131)</f>
        <v>0</v>
      </c>
      <c r="AF65" s="331">
        <f>+IF(SUM($F131:AE131)&gt;=AF196*$F$5,0,AF131)</f>
        <v>0</v>
      </c>
      <c r="AG65" s="331">
        <f>+IF(SUM($F131:AF131)&gt;=AG196*$F$5,0,AG131)</f>
        <v>0</v>
      </c>
      <c r="AH65" s="331">
        <f>+IF(SUM($F131:AG131)&gt;=AH196*$F$5,0,AH131)</f>
        <v>0</v>
      </c>
      <c r="AI65" s="331">
        <f>+IF(SUM($F131:AH131)&gt;=AI196*$F$5,0,AI131)</f>
        <v>0</v>
      </c>
      <c r="AJ65" s="331">
        <f>+IF(SUM($F131:AI131)&gt;=AJ196*$F$5,0,AJ131)</f>
        <v>0</v>
      </c>
      <c r="AK65" s="331">
        <f>+IF(SUM($F131:AJ131)&gt;=AK196*$F$5,0,AK131)</f>
        <v>0</v>
      </c>
      <c r="AL65" s="331">
        <f>+IF(SUM($F131:AK131)&gt;=AL196*$F$5,0,AL131)</f>
        <v>0</v>
      </c>
      <c r="AM65" s="331">
        <f>+IF(SUM($F131:AL131)&gt;=AM196*$F$5,0,AM131)</f>
        <v>0</v>
      </c>
      <c r="AN65" s="331">
        <f>+IF(SUM($F131:AM131)&gt;=AN196*$F$5,0,AN131)</f>
        <v>0</v>
      </c>
      <c r="AO65" s="331">
        <f>+IF(SUM($F131:AN131)&gt;=AO196*$F$5,0,AO131)</f>
        <v>0</v>
      </c>
      <c r="AP65" s="331">
        <f>+IF(SUM($F131:AO131)&gt;=AP196*$F$5,0,AP131)</f>
        <v>0</v>
      </c>
      <c r="AQ65" s="331">
        <f>+IF(SUM($F131:AP131)&gt;=AQ196*$F$5,0,AQ131)</f>
        <v>0</v>
      </c>
      <c r="AR65" s="331">
        <f>+IF(SUM($F131:AQ131)&gt;=AR196*$F$5,0,AR131)</f>
        <v>0</v>
      </c>
      <c r="AS65" s="331">
        <f>+IF(SUM($F131:AR131)&gt;=AS196*$F$5,0,AS131)</f>
        <v>0</v>
      </c>
      <c r="AT65" s="331">
        <f>+IF(SUM($F131:AS131)&gt;=AT196*$F$5,0,AT131)</f>
        <v>0</v>
      </c>
      <c r="AU65" s="331">
        <f>+IF(SUM($F131:AT131)&gt;=AU196*$F$5,0,AU131)</f>
        <v>0</v>
      </c>
      <c r="AV65" s="331">
        <f>+IF(SUM($F131:AU131)&gt;=AV196*$F$5,0,AV131)</f>
        <v>0</v>
      </c>
      <c r="AW65" s="331">
        <f>+IF(SUM($F131:AV131)&gt;=AW196*$F$5,0,AW131)</f>
        <v>0</v>
      </c>
      <c r="AX65" s="331">
        <f>+IF(SUM($F131:AW131)&gt;=AX196*$F$5,0,AX131)</f>
        <v>0</v>
      </c>
      <c r="AY65" s="331">
        <f>+IF(SUM($F131:AX131)&gt;=AY196*$F$5,0,AY131)</f>
        <v>0</v>
      </c>
      <c r="AZ65" s="331">
        <f>+IF(SUM($F131:AY131)&gt;=AZ196*$F$5,0,AZ131)</f>
        <v>0</v>
      </c>
      <c r="BA65" s="331">
        <f>+IF(SUM($F131:AZ131)&gt;=BA196*$F$5,0,BA131)</f>
        <v>0</v>
      </c>
      <c r="BB65" s="331">
        <f>+IF(SUM($F131:BA131)&gt;=BB196*$F$5,0,BB131)</f>
        <v>0</v>
      </c>
      <c r="BC65" s="331">
        <f>+IF(SUM($F131:BB131)&gt;=BC196*$F$5,0,BC131)</f>
        <v>0</v>
      </c>
      <c r="BD65" s="331">
        <f>+IF(SUM($F131:BC131)&gt;=BD196*$F$5,0,BD131)</f>
        <v>0</v>
      </c>
      <c r="BE65" s="331">
        <f>+IF(SUM($F131:BD131)&gt;=BE196*$F$5,0,BE131)</f>
        <v>0</v>
      </c>
      <c r="BF65" s="331">
        <f>+IF(SUM($F131:BE131)&gt;=BF196*$F$5,0,BF131)</f>
        <v>0</v>
      </c>
      <c r="BG65" s="331">
        <f>+IF(SUM($F131:BF131)&gt;=BG196*$F$5,0,BG131)</f>
        <v>0</v>
      </c>
      <c r="BH65" s="331">
        <f>+IF(SUM($F131:BG131)&gt;=BH196*$F$5,0,BH131)</f>
        <v>0</v>
      </c>
      <c r="BI65" s="331">
        <f>+IF(SUM($F131:BH131)&gt;=BI196*$F$5,0,BI131)</f>
        <v>0</v>
      </c>
      <c r="BJ65" s="331">
        <f>+IF(SUM($F131:BI131)&gt;=BJ196*$F$5,0,BJ131)</f>
        <v>0</v>
      </c>
      <c r="BK65" s="331">
        <f>+IF(SUM($F131:BJ131)&gt;=BK196*$F$5,0,BK131)</f>
        <v>0</v>
      </c>
      <c r="BL65" s="331">
        <f>+IF(SUM($F131:BK131)&gt;=BL196*$F$5,0,BL131)</f>
        <v>0</v>
      </c>
      <c r="BM65" s="331">
        <f>+IF(SUM($F131:BL131)&gt;=BM196*$F$5,0,BM131)</f>
        <v>0</v>
      </c>
    </row>
    <row r="66" spans="5:65" ht="15.75">
      <c r="E66" s="416">
        <f t="shared" si="12"/>
        <v>45088</v>
      </c>
      <c r="F66" s="331">
        <f t="shared" si="11"/>
        <v>0</v>
      </c>
      <c r="G66" s="331">
        <f>+IF(SUM($F132:F132)&gt;=G197*$F$5,0,G132)</f>
        <v>0</v>
      </c>
      <c r="H66" s="331">
        <f>+IF(SUM($F132:G132)&gt;=H197*$F$5,0,H132)</f>
        <v>0</v>
      </c>
      <c r="I66" s="331">
        <f>+IF(SUM($F132:H132)&gt;=I197*$F$5,0,I132)</f>
        <v>0</v>
      </c>
      <c r="J66" s="331">
        <f>+IF(SUM($F132:I132)&gt;=J197*$F$5,0,J132)</f>
        <v>0</v>
      </c>
      <c r="K66" s="331">
        <f>+IF(SUM($F132:J132)&gt;=K197*$F$5,0,K132)</f>
        <v>0</v>
      </c>
      <c r="L66" s="331">
        <f>+IF(SUM($F132:K132)&gt;=L197*$F$5,0,L132)</f>
        <v>0</v>
      </c>
      <c r="M66" s="331">
        <f>+IF(SUM($F132:L132)&gt;=M197*$F$5,0,M132)</f>
        <v>0</v>
      </c>
      <c r="N66" s="331">
        <f>+IF(SUM($F132:M132)&gt;=N197*$F$5,0,N132)</f>
        <v>0</v>
      </c>
      <c r="O66" s="331">
        <f>+IF(SUM($F132:N132)&gt;=O197*$F$5,0,O132)</f>
        <v>0</v>
      </c>
      <c r="P66" s="331">
        <f>+IF(SUM($F132:O132)&gt;=P197*$F$5,0,P132)</f>
        <v>0</v>
      </c>
      <c r="Q66" s="331">
        <f>+IF(SUM($F132:P132)&gt;=Q197*$F$5,0,Q132)</f>
        <v>0</v>
      </c>
      <c r="R66" s="331">
        <f>+IF(SUM($F132:Q132)&gt;=R197*$F$5,0,R132)</f>
        <v>0</v>
      </c>
      <c r="S66" s="331">
        <f>+IF(SUM($F132:R132)&gt;=S197*$F$5,0,S132)</f>
        <v>0</v>
      </c>
      <c r="T66" s="331">
        <f>+IF(SUM($F132:S132)&gt;=T197*$F$5,0,T132)</f>
        <v>0</v>
      </c>
      <c r="U66" s="331">
        <f>+IF(SUM($F132:T132)&gt;=U197*$F$5,0,U132)</f>
        <v>0</v>
      </c>
      <c r="V66" s="331">
        <f>+IF(SUM($F132:U132)&gt;=V197*$F$5,0,V132)</f>
        <v>0</v>
      </c>
      <c r="W66" s="331">
        <f>+IF(SUM($F132:V132)&gt;=W197*$F$5,0,W132)</f>
        <v>0</v>
      </c>
      <c r="X66" s="331">
        <f>+IF(SUM($F132:W132)&gt;=X197*$F$5,0,X132)</f>
        <v>0</v>
      </c>
      <c r="Y66" s="331">
        <f>+IF(SUM($F132:X132)&gt;=Y197*$F$5,0,Y132)</f>
        <v>0</v>
      </c>
      <c r="Z66" s="331">
        <f>+IF(SUM($F132:Y132)&gt;=Z197*$F$5,0,Z132)</f>
        <v>0</v>
      </c>
      <c r="AA66" s="331">
        <f>+IF(SUM($F132:Z132)&gt;=AA197*$F$5,0,AA132)</f>
        <v>0</v>
      </c>
      <c r="AB66" s="331">
        <f>+IF(SUM($F132:AA132)&gt;=AB197*$F$5,0,AB132)</f>
        <v>0</v>
      </c>
      <c r="AC66" s="331">
        <f>+IF(SUM($F132:AB132)&gt;=AC197*$F$5,0,AC132)</f>
        <v>0</v>
      </c>
      <c r="AD66" s="331">
        <f>+IF(SUM($F132:AC132)&gt;=AD197*$F$5,0,AD132)</f>
        <v>0</v>
      </c>
      <c r="AE66" s="331">
        <f>+IF(SUM($F132:AD132)&gt;=AE197*$F$5,0,AE132)</f>
        <v>0</v>
      </c>
      <c r="AF66" s="331">
        <f>+IF(SUM($F132:AE132)&gt;=AF197*$F$5,0,AF132)</f>
        <v>0</v>
      </c>
      <c r="AG66" s="331">
        <f>+IF(SUM($F132:AF132)&gt;=AG197*$F$5,0,AG132)</f>
        <v>0</v>
      </c>
      <c r="AH66" s="331">
        <f>+IF(SUM($F132:AG132)&gt;=AH197*$F$5,0,AH132)</f>
        <v>0</v>
      </c>
      <c r="AI66" s="331">
        <f>+IF(SUM($F132:AH132)&gt;=AI197*$F$5,0,AI132)</f>
        <v>0</v>
      </c>
      <c r="AJ66" s="331">
        <f>+IF(SUM($F132:AI132)&gt;=AJ197*$F$5,0,AJ132)</f>
        <v>0</v>
      </c>
      <c r="AK66" s="331">
        <f>+IF(SUM($F132:AJ132)&gt;=AK197*$F$5,0,AK132)</f>
        <v>0</v>
      </c>
      <c r="AL66" s="331">
        <f>+IF(SUM($F132:AK132)&gt;=AL197*$F$5,0,AL132)</f>
        <v>0</v>
      </c>
      <c r="AM66" s="331">
        <f>+IF(SUM($F132:AL132)&gt;=AM197*$F$5,0,AM132)</f>
        <v>0</v>
      </c>
      <c r="AN66" s="331">
        <f>+IF(SUM($F132:AM132)&gt;=AN197*$F$5,0,AN132)</f>
        <v>0</v>
      </c>
      <c r="AO66" s="331">
        <f>+IF(SUM($F132:AN132)&gt;=AO197*$F$5,0,AO132)</f>
        <v>0</v>
      </c>
      <c r="AP66" s="331">
        <f>+IF(SUM($F132:AO132)&gt;=AP197*$F$5,0,AP132)</f>
        <v>0</v>
      </c>
      <c r="AQ66" s="331">
        <f>+IF(SUM($F132:AP132)&gt;=AQ197*$F$5,0,AQ132)</f>
        <v>0</v>
      </c>
      <c r="AR66" s="331">
        <f>+IF(SUM($F132:AQ132)&gt;=AR197*$F$5,0,AR132)</f>
        <v>0</v>
      </c>
      <c r="AS66" s="331">
        <f>+IF(SUM($F132:AR132)&gt;=AS197*$F$5,0,AS132)</f>
        <v>0</v>
      </c>
      <c r="AT66" s="331">
        <f>+IF(SUM($F132:AS132)&gt;=AT197*$F$5,0,AT132)</f>
        <v>0</v>
      </c>
      <c r="AU66" s="331">
        <f>+IF(SUM($F132:AT132)&gt;=AU197*$F$5,0,AU132)</f>
        <v>0</v>
      </c>
      <c r="AV66" s="331">
        <f>+IF(SUM($F132:AU132)&gt;=AV197*$F$5,0,AV132)</f>
        <v>0</v>
      </c>
      <c r="AW66" s="331">
        <f>+IF(SUM($F132:AV132)&gt;=AW197*$F$5,0,AW132)</f>
        <v>0</v>
      </c>
      <c r="AX66" s="331">
        <f>+IF(SUM($F132:AW132)&gt;=AX197*$F$5,0,AX132)</f>
        <v>0</v>
      </c>
      <c r="AY66" s="331">
        <f>+IF(SUM($F132:AX132)&gt;=AY197*$F$5,0,AY132)</f>
        <v>0</v>
      </c>
      <c r="AZ66" s="331">
        <f>+IF(SUM($F132:AY132)&gt;=AZ197*$F$5,0,AZ132)</f>
        <v>0</v>
      </c>
      <c r="BA66" s="331">
        <f>+IF(SUM($F132:AZ132)&gt;=BA197*$F$5,0,BA132)</f>
        <v>0</v>
      </c>
      <c r="BB66" s="331">
        <f>+IF(SUM($F132:BA132)&gt;=BB197*$F$5,0,BB132)</f>
        <v>0</v>
      </c>
      <c r="BC66" s="331">
        <f>+IF(SUM($F132:BB132)&gt;=BC197*$F$5,0,BC132)</f>
        <v>0</v>
      </c>
      <c r="BD66" s="331">
        <f>+IF(SUM($F132:BC132)&gt;=BD197*$F$5,0,BD132)</f>
        <v>0</v>
      </c>
      <c r="BE66" s="331">
        <f>+IF(SUM($F132:BD132)&gt;=BE197*$F$5,0,BE132)</f>
        <v>0</v>
      </c>
      <c r="BF66" s="331">
        <f>+IF(SUM($F132:BE132)&gt;=BF197*$F$5,0,BF132)</f>
        <v>0</v>
      </c>
      <c r="BG66" s="331">
        <f>+IF(SUM($F132:BF132)&gt;=BG197*$F$5,0,BG132)</f>
        <v>0</v>
      </c>
      <c r="BH66" s="331">
        <f>+IF(SUM($F132:BG132)&gt;=BH197*$F$5,0,BH132)</f>
        <v>0</v>
      </c>
      <c r="BI66" s="331">
        <f>+IF(SUM($F132:BH132)&gt;=BI197*$F$5,0,BI132)</f>
        <v>0</v>
      </c>
      <c r="BJ66" s="331">
        <f>+IF(SUM($F132:BI132)&gt;=BJ197*$F$5,0,BJ132)</f>
        <v>0</v>
      </c>
      <c r="BK66" s="331">
        <f>+IF(SUM($F132:BJ132)&gt;=BK197*$F$5,0,BK132)</f>
        <v>0</v>
      </c>
      <c r="BL66" s="331">
        <f>+IF(SUM($F132:BK132)&gt;=BL197*$F$5,0,BL132)</f>
        <v>0</v>
      </c>
      <c r="BM66" s="331">
        <f>+IF(SUM($F132:BL132)&gt;=BM197*$F$5,0,BM132)</f>
        <v>0</v>
      </c>
    </row>
    <row r="67" spans="5:65" ht="15.75">
      <c r="E67" s="416">
        <f t="shared" si="12"/>
        <v>45119</v>
      </c>
      <c r="F67" s="331">
        <f t="shared" si="11"/>
        <v>0</v>
      </c>
      <c r="G67" s="331">
        <f>+IF(SUM($F133:F133)&gt;=G198*$F$5,0,G133)</f>
        <v>0</v>
      </c>
      <c r="H67" s="331">
        <f>+IF(SUM($F133:G133)&gt;=H198*$F$5,0,H133)</f>
        <v>0</v>
      </c>
      <c r="I67" s="331">
        <f>+IF(SUM($F133:H133)&gt;=I198*$F$5,0,I133)</f>
        <v>0</v>
      </c>
      <c r="J67" s="331">
        <f>+IF(SUM($F133:I133)&gt;=J198*$F$5,0,J133)</f>
        <v>0</v>
      </c>
      <c r="K67" s="331">
        <f>+IF(SUM($F133:J133)&gt;=K198*$F$5,0,K133)</f>
        <v>0</v>
      </c>
      <c r="L67" s="331">
        <f>+IF(SUM($F133:K133)&gt;=L198*$F$5,0,L133)</f>
        <v>0</v>
      </c>
      <c r="M67" s="331">
        <f>+IF(SUM($F133:L133)&gt;=M198*$F$5,0,M133)</f>
        <v>0</v>
      </c>
      <c r="N67" s="331">
        <f>+IF(SUM($F133:M133)&gt;=N198*$F$5,0,N133)</f>
        <v>0</v>
      </c>
      <c r="O67" s="331">
        <f>+IF(SUM($F133:N133)&gt;=O198*$F$5,0,O133)</f>
        <v>0</v>
      </c>
      <c r="P67" s="331">
        <f>+IF(SUM($F133:O133)&gt;=P198*$F$5,0,P133)</f>
        <v>0</v>
      </c>
      <c r="Q67" s="331">
        <f>+IF(SUM($F133:P133)&gt;=Q198*$F$5,0,Q133)</f>
        <v>0</v>
      </c>
      <c r="R67" s="331">
        <f>+IF(SUM($F133:Q133)&gt;=R198*$F$5,0,R133)</f>
        <v>0</v>
      </c>
      <c r="S67" s="331">
        <f>+IF(SUM($F133:R133)&gt;=S198*$F$5,0,S133)</f>
        <v>0</v>
      </c>
      <c r="T67" s="331">
        <f>+IF(SUM($F133:S133)&gt;=T198*$F$5,0,T133)</f>
        <v>0</v>
      </c>
      <c r="U67" s="331">
        <f>+IF(SUM($F133:T133)&gt;=U198*$F$5,0,U133)</f>
        <v>0</v>
      </c>
      <c r="V67" s="331">
        <f>+IF(SUM($F133:U133)&gt;=V198*$F$5,0,V133)</f>
        <v>0</v>
      </c>
      <c r="W67" s="331">
        <f>+IF(SUM($F133:V133)&gt;=W198*$F$5,0,W133)</f>
        <v>0</v>
      </c>
      <c r="X67" s="331">
        <f>+IF(SUM($F133:W133)&gt;=X198*$F$5,0,X133)</f>
        <v>0</v>
      </c>
      <c r="Y67" s="331">
        <f>+IF(SUM($F133:X133)&gt;=Y198*$F$5,0,Y133)</f>
        <v>0</v>
      </c>
      <c r="Z67" s="331">
        <f>+IF(SUM($F133:Y133)&gt;=Z198*$F$5,0,Z133)</f>
        <v>0</v>
      </c>
      <c r="AA67" s="331">
        <f>+IF(SUM($F133:Z133)&gt;=AA198*$F$5,0,AA133)</f>
        <v>0</v>
      </c>
      <c r="AB67" s="331">
        <f>+IF(SUM($F133:AA133)&gt;=AB198*$F$5,0,AB133)</f>
        <v>0</v>
      </c>
      <c r="AC67" s="331">
        <f>+IF(SUM($F133:AB133)&gt;=AC198*$F$5,0,AC133)</f>
        <v>0</v>
      </c>
      <c r="AD67" s="331">
        <f>+IF(SUM($F133:AC133)&gt;=AD198*$F$5,0,AD133)</f>
        <v>0</v>
      </c>
      <c r="AE67" s="331">
        <f>+IF(SUM($F133:AD133)&gt;=AE198*$F$5,0,AE133)</f>
        <v>0</v>
      </c>
      <c r="AF67" s="331">
        <f>+IF(SUM($F133:AE133)&gt;=AF198*$F$5,0,AF133)</f>
        <v>0</v>
      </c>
      <c r="AG67" s="331">
        <f>+IF(SUM($F133:AF133)&gt;=AG198*$F$5,0,AG133)</f>
        <v>0</v>
      </c>
      <c r="AH67" s="331">
        <f>+IF(SUM($F133:AG133)&gt;=AH198*$F$5,0,AH133)</f>
        <v>0</v>
      </c>
      <c r="AI67" s="331">
        <f>+IF(SUM($F133:AH133)&gt;=AI198*$F$5,0,AI133)</f>
        <v>0</v>
      </c>
      <c r="AJ67" s="331">
        <f>+IF(SUM($F133:AI133)&gt;=AJ198*$F$5,0,AJ133)</f>
        <v>0</v>
      </c>
      <c r="AK67" s="331">
        <f>+IF(SUM($F133:AJ133)&gt;=AK198*$F$5,0,AK133)</f>
        <v>0</v>
      </c>
      <c r="AL67" s="331">
        <f>+IF(SUM($F133:AK133)&gt;=AL198*$F$5,0,AL133)</f>
        <v>0</v>
      </c>
      <c r="AM67" s="331">
        <f>+IF(SUM($F133:AL133)&gt;=AM198*$F$5,0,AM133)</f>
        <v>0</v>
      </c>
      <c r="AN67" s="331">
        <f>+IF(SUM($F133:AM133)&gt;=AN198*$F$5,0,AN133)</f>
        <v>0</v>
      </c>
      <c r="AO67" s="331">
        <f>+IF(SUM($F133:AN133)&gt;=AO198*$F$5,0,AO133)</f>
        <v>0</v>
      </c>
      <c r="AP67" s="331">
        <f>+IF(SUM($F133:AO133)&gt;=AP198*$F$5,0,AP133)</f>
        <v>0</v>
      </c>
      <c r="AQ67" s="331">
        <f>+IF(SUM($F133:AP133)&gt;=AQ198*$F$5,0,AQ133)</f>
        <v>0</v>
      </c>
      <c r="AR67" s="331">
        <f>+IF(SUM($F133:AQ133)&gt;=AR198*$F$5,0,AR133)</f>
        <v>0</v>
      </c>
      <c r="AS67" s="331">
        <f>+IF(SUM($F133:AR133)&gt;=AS198*$F$5,0,AS133)</f>
        <v>0</v>
      </c>
      <c r="AT67" s="331">
        <f>+IF(SUM($F133:AS133)&gt;=AT198*$F$5,0,AT133)</f>
        <v>0</v>
      </c>
      <c r="AU67" s="331">
        <f>+IF(SUM($F133:AT133)&gt;=AU198*$F$5,0,AU133)</f>
        <v>0</v>
      </c>
      <c r="AV67" s="331">
        <f>+IF(SUM($F133:AU133)&gt;=AV198*$F$5,0,AV133)</f>
        <v>0</v>
      </c>
      <c r="AW67" s="331">
        <f>+IF(SUM($F133:AV133)&gt;=AW198*$F$5,0,AW133)</f>
        <v>0</v>
      </c>
      <c r="AX67" s="331">
        <f>+IF(SUM($F133:AW133)&gt;=AX198*$F$5,0,AX133)</f>
        <v>0</v>
      </c>
      <c r="AY67" s="331">
        <f>+IF(SUM($F133:AX133)&gt;=AY198*$F$5,0,AY133)</f>
        <v>0</v>
      </c>
      <c r="AZ67" s="331">
        <f>+IF(SUM($F133:AY133)&gt;=AZ198*$F$5,0,AZ133)</f>
        <v>0</v>
      </c>
      <c r="BA67" s="331">
        <f>+IF(SUM($F133:AZ133)&gt;=BA198*$F$5,0,BA133)</f>
        <v>0</v>
      </c>
      <c r="BB67" s="331">
        <f>+IF(SUM($F133:BA133)&gt;=BB198*$F$5,0,BB133)</f>
        <v>0</v>
      </c>
      <c r="BC67" s="331">
        <f>+IF(SUM($F133:BB133)&gt;=BC198*$F$5,0,BC133)</f>
        <v>0</v>
      </c>
      <c r="BD67" s="331">
        <f>+IF(SUM($F133:BC133)&gt;=BD198*$F$5,0,BD133)</f>
        <v>0</v>
      </c>
      <c r="BE67" s="331">
        <f>+IF(SUM($F133:BD133)&gt;=BE198*$F$5,0,BE133)</f>
        <v>0</v>
      </c>
      <c r="BF67" s="331">
        <f>+IF(SUM($F133:BE133)&gt;=BF198*$F$5,0,BF133)</f>
        <v>0</v>
      </c>
      <c r="BG67" s="331">
        <f>+IF(SUM($F133:BF133)&gt;=BG198*$F$5,0,BG133)</f>
        <v>0</v>
      </c>
      <c r="BH67" s="331">
        <f>+IF(SUM($F133:BG133)&gt;=BH198*$F$5,0,BH133)</f>
        <v>0</v>
      </c>
      <c r="BI67" s="331">
        <f>+IF(SUM($F133:BH133)&gt;=BI198*$F$5,0,BI133)</f>
        <v>0</v>
      </c>
      <c r="BJ67" s="331">
        <f>+IF(SUM($F133:BI133)&gt;=BJ198*$F$5,0,BJ133)</f>
        <v>0</v>
      </c>
      <c r="BK67" s="331">
        <f>+IF(SUM($F133:BJ133)&gt;=BK198*$F$5,0,BK133)</f>
        <v>0</v>
      </c>
      <c r="BL67" s="331">
        <f>+IF(SUM($F133:BK133)&gt;=BL198*$F$5,0,BL133)</f>
        <v>0</v>
      </c>
      <c r="BM67" s="331">
        <f>+IF(SUM($F133:BL133)&gt;=BM198*$F$5,0,BM133)</f>
        <v>0</v>
      </c>
    </row>
    <row r="68" spans="5:65" ht="15.75">
      <c r="E68" s="416">
        <f t="shared" si="12"/>
        <v>45150</v>
      </c>
      <c r="F68" s="331">
        <f t="shared" si="11"/>
        <v>0</v>
      </c>
      <c r="G68" s="331">
        <f>+IF(SUM($F134:F134)&gt;=G199*$F$5,0,G134)</f>
        <v>0</v>
      </c>
      <c r="H68" s="331">
        <f>+IF(SUM($F134:G134)&gt;=H199*$F$5,0,H134)</f>
        <v>0</v>
      </c>
      <c r="I68" s="331">
        <f>+IF(SUM($F134:H134)&gt;=I199*$F$5,0,I134)</f>
        <v>0</v>
      </c>
      <c r="J68" s="331">
        <f>+IF(SUM($F134:I134)&gt;=J199*$F$5,0,J134)</f>
        <v>0</v>
      </c>
      <c r="K68" s="331">
        <f>+IF(SUM($F134:J134)&gt;=K199*$F$5,0,K134)</f>
        <v>0</v>
      </c>
      <c r="L68" s="331">
        <f>+IF(SUM($F134:K134)&gt;=L199*$F$5,0,L134)</f>
        <v>0</v>
      </c>
      <c r="M68" s="331">
        <f>+IF(SUM($F134:L134)&gt;=M199*$F$5,0,M134)</f>
        <v>0</v>
      </c>
      <c r="N68" s="331">
        <f>+IF(SUM($F134:M134)&gt;=N199*$F$5,0,N134)</f>
        <v>0</v>
      </c>
      <c r="O68" s="331">
        <f>+IF(SUM($F134:N134)&gt;=O199*$F$5,0,O134)</f>
        <v>0</v>
      </c>
      <c r="P68" s="331">
        <f>+IF(SUM($F134:O134)&gt;=P199*$F$5,0,P134)</f>
        <v>0</v>
      </c>
      <c r="Q68" s="331">
        <f>+IF(SUM($F134:P134)&gt;=Q199*$F$5,0,Q134)</f>
        <v>0</v>
      </c>
      <c r="R68" s="331">
        <f>+IF(SUM($F134:Q134)&gt;=R199*$F$5,0,R134)</f>
        <v>0</v>
      </c>
      <c r="S68" s="331">
        <f>+IF(SUM($F134:R134)&gt;=S199*$F$5,0,S134)</f>
        <v>0</v>
      </c>
      <c r="T68" s="331">
        <f>+IF(SUM($F134:S134)&gt;=T199*$F$5,0,T134)</f>
        <v>0</v>
      </c>
      <c r="U68" s="331">
        <f>+IF(SUM($F134:T134)&gt;=U199*$F$5,0,U134)</f>
        <v>0</v>
      </c>
      <c r="V68" s="331">
        <f>+IF(SUM($F134:U134)&gt;=V199*$F$5,0,V134)</f>
        <v>0</v>
      </c>
      <c r="W68" s="331">
        <f>+IF(SUM($F134:V134)&gt;=W199*$F$5,0,W134)</f>
        <v>0</v>
      </c>
      <c r="X68" s="331">
        <f>+IF(SUM($F134:W134)&gt;=X199*$F$5,0,X134)</f>
        <v>0</v>
      </c>
      <c r="Y68" s="331">
        <f>+IF(SUM($F134:X134)&gt;=Y199*$F$5,0,Y134)</f>
        <v>0</v>
      </c>
      <c r="Z68" s="331">
        <f>+IF(SUM($F134:Y134)&gt;=Z199*$F$5,0,Z134)</f>
        <v>0</v>
      </c>
      <c r="AA68" s="331">
        <f>+IF(SUM($F134:Z134)&gt;=AA199*$F$5,0,AA134)</f>
        <v>0</v>
      </c>
      <c r="AB68" s="331">
        <f>+IF(SUM($F134:AA134)&gt;=AB199*$F$5,0,AB134)</f>
        <v>0</v>
      </c>
      <c r="AC68" s="331">
        <f>+IF(SUM($F134:AB134)&gt;=AC199*$F$5,0,AC134)</f>
        <v>0</v>
      </c>
      <c r="AD68" s="331">
        <f>+IF(SUM($F134:AC134)&gt;=AD199*$F$5,0,AD134)</f>
        <v>0</v>
      </c>
      <c r="AE68" s="331">
        <f>+IF(SUM($F134:AD134)&gt;=AE199*$F$5,0,AE134)</f>
        <v>0</v>
      </c>
      <c r="AF68" s="331">
        <f>+IF(SUM($F134:AE134)&gt;=AF199*$F$5,0,AF134)</f>
        <v>0</v>
      </c>
      <c r="AG68" s="331">
        <f>+IF(SUM($F134:AF134)&gt;=AG199*$F$5,0,AG134)</f>
        <v>0</v>
      </c>
      <c r="AH68" s="331">
        <f>+IF(SUM($F134:AG134)&gt;=AH199*$F$5,0,AH134)</f>
        <v>0</v>
      </c>
      <c r="AI68" s="331">
        <f>+IF(SUM($F134:AH134)&gt;=AI199*$F$5,0,AI134)</f>
        <v>0</v>
      </c>
      <c r="AJ68" s="331">
        <f>+IF(SUM($F134:AI134)&gt;=AJ199*$F$5,0,AJ134)</f>
        <v>0</v>
      </c>
      <c r="AK68" s="331">
        <f>+IF(SUM($F134:AJ134)&gt;=AK199*$F$5,0,AK134)</f>
        <v>0</v>
      </c>
      <c r="AL68" s="331">
        <f>+IF(SUM($F134:AK134)&gt;=AL199*$F$5,0,AL134)</f>
        <v>0</v>
      </c>
      <c r="AM68" s="331">
        <f>+IF(SUM($F134:AL134)&gt;=AM199*$F$5,0,AM134)</f>
        <v>0</v>
      </c>
      <c r="AN68" s="331">
        <f>+IF(SUM($F134:AM134)&gt;=AN199*$F$5,0,AN134)</f>
        <v>0</v>
      </c>
      <c r="AO68" s="331">
        <f>+IF(SUM($F134:AN134)&gt;=AO199*$F$5,0,AO134)</f>
        <v>0</v>
      </c>
      <c r="AP68" s="331">
        <f>+IF(SUM($F134:AO134)&gt;=AP199*$F$5,0,AP134)</f>
        <v>0</v>
      </c>
      <c r="AQ68" s="331">
        <f>+IF(SUM($F134:AP134)&gt;=AQ199*$F$5,0,AQ134)</f>
        <v>0</v>
      </c>
      <c r="AR68" s="331">
        <f>+IF(SUM($F134:AQ134)&gt;=AR199*$F$5,0,AR134)</f>
        <v>0</v>
      </c>
      <c r="AS68" s="331">
        <f>+IF(SUM($F134:AR134)&gt;=AS199*$F$5,0,AS134)</f>
        <v>0</v>
      </c>
      <c r="AT68" s="331">
        <f>+IF(SUM($F134:AS134)&gt;=AT199*$F$5,0,AT134)</f>
        <v>0</v>
      </c>
      <c r="AU68" s="331">
        <f>+IF(SUM($F134:AT134)&gt;=AU199*$F$5,0,AU134)</f>
        <v>0</v>
      </c>
      <c r="AV68" s="331">
        <f>+IF(SUM($F134:AU134)&gt;=AV199*$F$5,0,AV134)</f>
        <v>0</v>
      </c>
      <c r="AW68" s="331">
        <f>+IF(SUM($F134:AV134)&gt;=AW199*$F$5,0,AW134)</f>
        <v>0</v>
      </c>
      <c r="AX68" s="331">
        <f>+IF(SUM($F134:AW134)&gt;=AX199*$F$5,0,AX134)</f>
        <v>0</v>
      </c>
      <c r="AY68" s="331">
        <f>+IF(SUM($F134:AX134)&gt;=AY199*$F$5,0,AY134)</f>
        <v>0</v>
      </c>
      <c r="AZ68" s="331">
        <f>+IF(SUM($F134:AY134)&gt;=AZ199*$F$5,0,AZ134)</f>
        <v>0</v>
      </c>
      <c r="BA68" s="331">
        <f>+IF(SUM($F134:AZ134)&gt;=BA199*$F$5,0,BA134)</f>
        <v>0</v>
      </c>
      <c r="BB68" s="331">
        <f>+IF(SUM($F134:BA134)&gt;=BB199*$F$5,0,BB134)</f>
        <v>0</v>
      </c>
      <c r="BC68" s="331">
        <f>+IF(SUM($F134:BB134)&gt;=BC199*$F$5,0,BC134)</f>
        <v>0</v>
      </c>
      <c r="BD68" s="331">
        <f>+IF(SUM($F134:BC134)&gt;=BD199*$F$5,0,BD134)</f>
        <v>0</v>
      </c>
      <c r="BE68" s="331">
        <f>+IF(SUM($F134:BD134)&gt;=BE199*$F$5,0,BE134)</f>
        <v>0</v>
      </c>
      <c r="BF68" s="331">
        <f>+IF(SUM($F134:BE134)&gt;=BF199*$F$5,0,BF134)</f>
        <v>0</v>
      </c>
      <c r="BG68" s="331">
        <f>+IF(SUM($F134:BF134)&gt;=BG199*$F$5,0,BG134)</f>
        <v>0</v>
      </c>
      <c r="BH68" s="331">
        <f>+IF(SUM($F134:BG134)&gt;=BH199*$F$5,0,BH134)</f>
        <v>0</v>
      </c>
      <c r="BI68" s="331">
        <f>+IF(SUM($F134:BH134)&gt;=BI199*$F$5,0,BI134)</f>
        <v>0</v>
      </c>
      <c r="BJ68" s="331">
        <f>+IF(SUM($F134:BI134)&gt;=BJ199*$F$5,0,BJ134)</f>
        <v>0</v>
      </c>
      <c r="BK68" s="331">
        <f>+IF(SUM($F134:BJ134)&gt;=BK199*$F$5,0,BK134)</f>
        <v>0</v>
      </c>
      <c r="BL68" s="331">
        <f>+IF(SUM($F134:BK134)&gt;=BL199*$F$5,0,BL134)</f>
        <v>0</v>
      </c>
      <c r="BM68" s="331">
        <f>+IF(SUM($F134:BL134)&gt;=BM199*$F$5,0,BM134)</f>
        <v>0</v>
      </c>
    </row>
    <row r="69" spans="5:65" ht="15.75">
      <c r="E69" s="416">
        <f t="shared" si="12"/>
        <v>45181</v>
      </c>
      <c r="F69" s="331">
        <f t="shared" si="11"/>
        <v>0</v>
      </c>
      <c r="G69" s="331">
        <f>+IF(SUM($F135:F135)&gt;=G200*$F$5,0,G135)</f>
        <v>0</v>
      </c>
      <c r="H69" s="331">
        <f>+IF(SUM($F135:G135)&gt;=H200*$F$5,0,H135)</f>
        <v>0</v>
      </c>
      <c r="I69" s="331">
        <f>+IF(SUM($F135:H135)&gt;=I200*$F$5,0,I135)</f>
        <v>0</v>
      </c>
      <c r="J69" s="331">
        <f>+IF(SUM($F135:I135)&gt;=J200*$F$5,0,J135)</f>
        <v>0</v>
      </c>
      <c r="K69" s="331">
        <f>+IF(SUM($F135:J135)&gt;=K200*$F$5,0,K135)</f>
        <v>0</v>
      </c>
      <c r="L69" s="331">
        <f>+IF(SUM($F135:K135)&gt;=L200*$F$5,0,L135)</f>
        <v>0</v>
      </c>
      <c r="M69" s="331">
        <f>+IF(SUM($F135:L135)&gt;=M200*$F$5,0,M135)</f>
        <v>0</v>
      </c>
      <c r="N69" s="331">
        <f>+IF(SUM($F135:M135)&gt;=N200*$F$5,0,N135)</f>
        <v>0</v>
      </c>
      <c r="O69" s="331">
        <f>+IF(SUM($F135:N135)&gt;=O200*$F$5,0,O135)</f>
        <v>0</v>
      </c>
      <c r="P69" s="331">
        <f>+IF(SUM($F135:O135)&gt;=P200*$F$5,0,P135)</f>
        <v>0</v>
      </c>
      <c r="Q69" s="331">
        <f>+IF(SUM($F135:P135)&gt;=Q200*$F$5,0,Q135)</f>
        <v>0</v>
      </c>
      <c r="R69" s="331">
        <f>+IF(SUM($F135:Q135)&gt;=R200*$F$5,0,R135)</f>
        <v>0</v>
      </c>
      <c r="S69" s="331">
        <f>+IF(SUM($F135:R135)&gt;=S200*$F$5,0,S135)</f>
        <v>0</v>
      </c>
      <c r="T69" s="331">
        <f>+IF(SUM($F135:S135)&gt;=T200*$F$5,0,T135)</f>
        <v>0</v>
      </c>
      <c r="U69" s="331">
        <f>+IF(SUM($F135:T135)&gt;=U200*$F$5,0,U135)</f>
        <v>0</v>
      </c>
      <c r="V69" s="331">
        <f>+IF(SUM($F135:U135)&gt;=V200*$F$5,0,V135)</f>
        <v>0</v>
      </c>
      <c r="W69" s="331">
        <f>+IF(SUM($F135:V135)&gt;=W200*$F$5,0,W135)</f>
        <v>0</v>
      </c>
      <c r="X69" s="331">
        <f>+IF(SUM($F135:W135)&gt;=X200*$F$5,0,X135)</f>
        <v>0</v>
      </c>
      <c r="Y69" s="331">
        <f>+IF(SUM($F135:X135)&gt;=Y200*$F$5,0,Y135)</f>
        <v>0</v>
      </c>
      <c r="Z69" s="331">
        <f>+IF(SUM($F135:Y135)&gt;=Z200*$F$5,0,Z135)</f>
        <v>0</v>
      </c>
      <c r="AA69" s="331">
        <f>+IF(SUM($F135:Z135)&gt;=AA200*$F$5,0,AA135)</f>
        <v>0</v>
      </c>
      <c r="AB69" s="331">
        <f>+IF(SUM($F135:AA135)&gt;=AB200*$F$5,0,AB135)</f>
        <v>0</v>
      </c>
      <c r="AC69" s="331">
        <f>+IF(SUM($F135:AB135)&gt;=AC200*$F$5,0,AC135)</f>
        <v>0</v>
      </c>
      <c r="AD69" s="331">
        <f>+IF(SUM($F135:AC135)&gt;=AD200*$F$5,0,AD135)</f>
        <v>0</v>
      </c>
      <c r="AE69" s="331">
        <f>+IF(SUM($F135:AD135)&gt;=AE200*$F$5,0,AE135)</f>
        <v>0</v>
      </c>
      <c r="AF69" s="331">
        <f>+IF(SUM($F135:AE135)&gt;=AF200*$F$5,0,AF135)</f>
        <v>0</v>
      </c>
      <c r="AG69" s="331">
        <f>+IF(SUM($F135:AF135)&gt;=AG200*$F$5,0,AG135)</f>
        <v>0</v>
      </c>
      <c r="AH69" s="331">
        <f>+IF(SUM($F135:AG135)&gt;=AH200*$F$5,0,AH135)</f>
        <v>0</v>
      </c>
      <c r="AI69" s="331">
        <f>+IF(SUM($F135:AH135)&gt;=AI200*$F$5,0,AI135)</f>
        <v>0</v>
      </c>
      <c r="AJ69" s="331">
        <f>+IF(SUM($F135:AI135)&gt;=AJ200*$F$5,0,AJ135)</f>
        <v>0</v>
      </c>
      <c r="AK69" s="331">
        <f>+IF(SUM($F135:AJ135)&gt;=AK200*$F$5,0,AK135)</f>
        <v>0</v>
      </c>
      <c r="AL69" s="331">
        <f>+IF(SUM($F135:AK135)&gt;=AL200*$F$5,0,AL135)</f>
        <v>0</v>
      </c>
      <c r="AM69" s="331">
        <f>+IF(SUM($F135:AL135)&gt;=AM200*$F$5,0,AM135)</f>
        <v>0</v>
      </c>
      <c r="AN69" s="331">
        <f>+IF(SUM($F135:AM135)&gt;=AN200*$F$5,0,AN135)</f>
        <v>0</v>
      </c>
      <c r="AO69" s="331">
        <f>+IF(SUM($F135:AN135)&gt;=AO200*$F$5,0,AO135)</f>
        <v>0</v>
      </c>
      <c r="AP69" s="331">
        <f>+IF(SUM($F135:AO135)&gt;=AP200*$F$5,0,AP135)</f>
        <v>0</v>
      </c>
      <c r="AQ69" s="331">
        <f>+IF(SUM($F135:AP135)&gt;=AQ200*$F$5,0,AQ135)</f>
        <v>0</v>
      </c>
      <c r="AR69" s="331">
        <f>+IF(SUM($F135:AQ135)&gt;=AR200*$F$5,0,AR135)</f>
        <v>0</v>
      </c>
      <c r="AS69" s="331">
        <f>+IF(SUM($F135:AR135)&gt;=AS200*$F$5,0,AS135)</f>
        <v>0</v>
      </c>
      <c r="AT69" s="331">
        <f>+IF(SUM($F135:AS135)&gt;=AT200*$F$5,0,AT135)</f>
        <v>0</v>
      </c>
      <c r="AU69" s="331">
        <f>+IF(SUM($F135:AT135)&gt;=AU200*$F$5,0,AU135)</f>
        <v>0</v>
      </c>
      <c r="AV69" s="331">
        <f>+IF(SUM($F135:AU135)&gt;=AV200*$F$5,0,AV135)</f>
        <v>0</v>
      </c>
      <c r="AW69" s="331">
        <f>+IF(SUM($F135:AV135)&gt;=AW200*$F$5,0,AW135)</f>
        <v>0</v>
      </c>
      <c r="AX69" s="331">
        <f>+IF(SUM($F135:AW135)&gt;=AX200*$F$5,0,AX135)</f>
        <v>0</v>
      </c>
      <c r="AY69" s="331">
        <f>+IF(SUM($F135:AX135)&gt;=AY200*$F$5,0,AY135)</f>
        <v>0</v>
      </c>
      <c r="AZ69" s="331">
        <f>+IF(SUM($F135:AY135)&gt;=AZ200*$F$5,0,AZ135)</f>
        <v>0</v>
      </c>
      <c r="BA69" s="331">
        <f>+IF(SUM($F135:AZ135)&gt;=BA200*$F$5,0,BA135)</f>
        <v>0</v>
      </c>
      <c r="BB69" s="331">
        <f>+IF(SUM($F135:BA135)&gt;=BB200*$F$5,0,BB135)</f>
        <v>0</v>
      </c>
      <c r="BC69" s="331">
        <f>+IF(SUM($F135:BB135)&gt;=BC200*$F$5,0,BC135)</f>
        <v>0</v>
      </c>
      <c r="BD69" s="331">
        <f>+IF(SUM($F135:BC135)&gt;=BD200*$F$5,0,BD135)</f>
        <v>0</v>
      </c>
      <c r="BE69" s="331">
        <f>+IF(SUM($F135:BD135)&gt;=BE200*$F$5,0,BE135)</f>
        <v>0</v>
      </c>
      <c r="BF69" s="331">
        <f>+IF(SUM($F135:BE135)&gt;=BF200*$F$5,0,BF135)</f>
        <v>0</v>
      </c>
      <c r="BG69" s="331">
        <f>+IF(SUM($F135:BF135)&gt;=BG200*$F$5,0,BG135)</f>
        <v>0</v>
      </c>
      <c r="BH69" s="331">
        <f>+IF(SUM($F135:BG135)&gt;=BH200*$F$5,0,BH135)</f>
        <v>0</v>
      </c>
      <c r="BI69" s="331">
        <f>+IF(SUM($F135:BH135)&gt;=BI200*$F$5,0,BI135)</f>
        <v>0</v>
      </c>
      <c r="BJ69" s="331">
        <f>+IF(SUM($F135:BI135)&gt;=BJ200*$F$5,0,BJ135)</f>
        <v>0</v>
      </c>
      <c r="BK69" s="331">
        <f>+IF(SUM($F135:BJ135)&gt;=BK200*$F$5,0,BK135)</f>
        <v>0</v>
      </c>
      <c r="BL69" s="331">
        <f>+IF(SUM($F135:BK135)&gt;=BL200*$F$5,0,BL135)</f>
        <v>0</v>
      </c>
      <c r="BM69" s="331">
        <f>+IF(SUM($F135:BL135)&gt;=BM200*$F$5,0,BM135)</f>
        <v>0</v>
      </c>
    </row>
    <row r="70" spans="5:65" ht="15.75">
      <c r="E70" s="416">
        <f t="shared" si="12"/>
        <v>45212</v>
      </c>
      <c r="F70" s="331">
        <f t="shared" si="11"/>
        <v>0</v>
      </c>
      <c r="G70" s="331">
        <f>+IF(SUM($F136:F136)&gt;=G201*$F$5,0,G136)</f>
        <v>0</v>
      </c>
      <c r="H70" s="331">
        <f>+IF(SUM($F136:G136)&gt;=H201*$F$5,0,H136)</f>
        <v>0</v>
      </c>
      <c r="I70" s="331">
        <f>+IF(SUM($F136:H136)&gt;=I201*$F$5,0,I136)</f>
        <v>0</v>
      </c>
      <c r="J70" s="331">
        <f>+IF(SUM($F136:I136)&gt;=J201*$F$5,0,J136)</f>
        <v>0</v>
      </c>
      <c r="K70" s="331">
        <f>+IF(SUM($F136:J136)&gt;=K201*$F$5,0,K136)</f>
        <v>0</v>
      </c>
      <c r="L70" s="331">
        <f>+IF(SUM($F136:K136)&gt;=L201*$F$5,0,L136)</f>
        <v>0</v>
      </c>
      <c r="M70" s="331">
        <f>+IF(SUM($F136:L136)&gt;=M201*$F$5,0,M136)</f>
        <v>0</v>
      </c>
      <c r="N70" s="331">
        <f>+IF(SUM($F136:M136)&gt;=N201*$F$5,0,N136)</f>
        <v>0</v>
      </c>
      <c r="O70" s="331">
        <f>+IF(SUM($F136:N136)&gt;=O201*$F$5,0,O136)</f>
        <v>0</v>
      </c>
      <c r="P70" s="331">
        <f>+IF(SUM($F136:O136)&gt;=P201*$F$5,0,P136)</f>
        <v>0</v>
      </c>
      <c r="Q70" s="331">
        <f>+IF(SUM($F136:P136)&gt;=Q201*$F$5,0,Q136)</f>
        <v>0</v>
      </c>
      <c r="R70" s="331">
        <f>+IF(SUM($F136:Q136)&gt;=R201*$F$5,0,R136)</f>
        <v>0</v>
      </c>
      <c r="S70" s="331">
        <f>+IF(SUM($F136:R136)&gt;=S201*$F$5,0,S136)</f>
        <v>0</v>
      </c>
      <c r="T70" s="331">
        <f>+IF(SUM($F136:S136)&gt;=T201*$F$5,0,T136)</f>
        <v>0</v>
      </c>
      <c r="U70" s="331">
        <f>+IF(SUM($F136:T136)&gt;=U201*$F$5,0,U136)</f>
        <v>0</v>
      </c>
      <c r="V70" s="331">
        <f>+IF(SUM($F136:U136)&gt;=V201*$F$5,0,V136)</f>
        <v>0</v>
      </c>
      <c r="W70" s="331">
        <f>+IF(SUM($F136:V136)&gt;=W201*$F$5,0,W136)</f>
        <v>0</v>
      </c>
      <c r="X70" s="331">
        <f>+IF(SUM($F136:W136)&gt;=X201*$F$5,0,X136)</f>
        <v>0</v>
      </c>
      <c r="Y70" s="331">
        <f>+IF(SUM($F136:X136)&gt;=Y201*$F$5,0,Y136)</f>
        <v>0</v>
      </c>
      <c r="Z70" s="331">
        <f>+IF(SUM($F136:Y136)&gt;=Z201*$F$5,0,Z136)</f>
        <v>0</v>
      </c>
      <c r="AA70" s="331">
        <f>+IF(SUM($F136:Z136)&gt;=AA201*$F$5,0,AA136)</f>
        <v>0</v>
      </c>
      <c r="AB70" s="331">
        <f>+IF(SUM($F136:AA136)&gt;=AB201*$F$5,0,AB136)</f>
        <v>0</v>
      </c>
      <c r="AC70" s="331">
        <f>+IF(SUM($F136:AB136)&gt;=AC201*$F$5,0,AC136)</f>
        <v>0</v>
      </c>
      <c r="AD70" s="331">
        <f>+IF(SUM($F136:AC136)&gt;=AD201*$F$5,0,AD136)</f>
        <v>0</v>
      </c>
      <c r="AE70" s="331">
        <f>+IF(SUM($F136:AD136)&gt;=AE201*$F$5,0,AE136)</f>
        <v>0</v>
      </c>
      <c r="AF70" s="331">
        <f>+IF(SUM($F136:AE136)&gt;=AF201*$F$5,0,AF136)</f>
        <v>0</v>
      </c>
      <c r="AG70" s="331">
        <f>+IF(SUM($F136:AF136)&gt;=AG201*$F$5,0,AG136)</f>
        <v>0</v>
      </c>
      <c r="AH70" s="331">
        <f>+IF(SUM($F136:AG136)&gt;=AH201*$F$5,0,AH136)</f>
        <v>0</v>
      </c>
      <c r="AI70" s="331">
        <f>+IF(SUM($F136:AH136)&gt;=AI201*$F$5,0,AI136)</f>
        <v>0</v>
      </c>
      <c r="AJ70" s="331">
        <f>+IF(SUM($F136:AI136)&gt;=AJ201*$F$5,0,AJ136)</f>
        <v>0</v>
      </c>
      <c r="AK70" s="331">
        <f>+IF(SUM($F136:AJ136)&gt;=AK201*$F$5,0,AK136)</f>
        <v>0</v>
      </c>
      <c r="AL70" s="331">
        <f>+IF(SUM($F136:AK136)&gt;=AL201*$F$5,0,AL136)</f>
        <v>0</v>
      </c>
      <c r="AM70" s="331">
        <f>+IF(SUM($F136:AL136)&gt;=AM201*$F$5,0,AM136)</f>
        <v>0</v>
      </c>
      <c r="AN70" s="331">
        <f>+IF(SUM($F136:AM136)&gt;=AN201*$F$5,0,AN136)</f>
        <v>0</v>
      </c>
      <c r="AO70" s="331">
        <f>+IF(SUM($F136:AN136)&gt;=AO201*$F$5,0,AO136)</f>
        <v>0</v>
      </c>
      <c r="AP70" s="331">
        <f>+IF(SUM($F136:AO136)&gt;=AP201*$F$5,0,AP136)</f>
        <v>0</v>
      </c>
      <c r="AQ70" s="331">
        <f>+IF(SUM($F136:AP136)&gt;=AQ201*$F$5,0,AQ136)</f>
        <v>0</v>
      </c>
      <c r="AR70" s="331">
        <f>+IF(SUM($F136:AQ136)&gt;=AR201*$F$5,0,AR136)</f>
        <v>0</v>
      </c>
      <c r="AS70" s="331">
        <f>+IF(SUM($F136:AR136)&gt;=AS201*$F$5,0,AS136)</f>
        <v>0</v>
      </c>
      <c r="AT70" s="331">
        <f>+IF(SUM($F136:AS136)&gt;=AT201*$F$5,0,AT136)</f>
        <v>0</v>
      </c>
      <c r="AU70" s="331">
        <f>+IF(SUM($F136:AT136)&gt;=AU201*$F$5,0,AU136)</f>
        <v>0</v>
      </c>
      <c r="AV70" s="331">
        <f>+IF(SUM($F136:AU136)&gt;=AV201*$F$5,0,AV136)</f>
        <v>0</v>
      </c>
      <c r="AW70" s="331">
        <f>+IF(SUM($F136:AV136)&gt;=AW201*$F$5,0,AW136)</f>
        <v>0</v>
      </c>
      <c r="AX70" s="331">
        <f>+IF(SUM($F136:AW136)&gt;=AX201*$F$5,0,AX136)</f>
        <v>0</v>
      </c>
      <c r="AY70" s="331">
        <f>+IF(SUM($F136:AX136)&gt;=AY201*$F$5,0,AY136)</f>
        <v>0</v>
      </c>
      <c r="AZ70" s="331">
        <f>+IF(SUM($F136:AY136)&gt;=AZ201*$F$5,0,AZ136)</f>
        <v>0</v>
      </c>
      <c r="BA70" s="331">
        <f>+IF(SUM($F136:AZ136)&gt;=BA201*$F$5,0,BA136)</f>
        <v>0</v>
      </c>
      <c r="BB70" s="331">
        <f>+IF(SUM($F136:BA136)&gt;=BB201*$F$5,0,BB136)</f>
        <v>0</v>
      </c>
      <c r="BC70" s="331">
        <f>+IF(SUM($F136:BB136)&gt;=BC201*$F$5,0,BC136)</f>
        <v>0</v>
      </c>
      <c r="BD70" s="331">
        <f>+IF(SUM($F136:BC136)&gt;=BD201*$F$5,0,BD136)</f>
        <v>0</v>
      </c>
      <c r="BE70" s="331">
        <f>+IF(SUM($F136:BD136)&gt;=BE201*$F$5,0,BE136)</f>
        <v>0</v>
      </c>
      <c r="BF70" s="331">
        <f>+IF(SUM($F136:BE136)&gt;=BF201*$F$5,0,BF136)</f>
        <v>0</v>
      </c>
      <c r="BG70" s="331">
        <f>+IF(SUM($F136:BF136)&gt;=BG201*$F$5,0,BG136)</f>
        <v>0</v>
      </c>
      <c r="BH70" s="331">
        <f>+IF(SUM($F136:BG136)&gt;=BH201*$F$5,0,BH136)</f>
        <v>0</v>
      </c>
      <c r="BI70" s="331">
        <f>+IF(SUM($F136:BH136)&gt;=BI201*$F$5,0,BI136)</f>
        <v>0</v>
      </c>
      <c r="BJ70" s="331">
        <f>+IF(SUM($F136:BI136)&gt;=BJ201*$F$5,0,BJ136)</f>
        <v>0</v>
      </c>
      <c r="BK70" s="331">
        <f>+IF(SUM($F136:BJ136)&gt;=BK201*$F$5,0,BK136)</f>
        <v>0</v>
      </c>
      <c r="BL70" s="331">
        <f>+IF(SUM($F136:BK136)&gt;=BL201*$F$5,0,BL136)</f>
        <v>0</v>
      </c>
      <c r="BM70" s="331">
        <f>+IF(SUM($F136:BL136)&gt;=BM201*$F$5,0,BM136)</f>
        <v>0</v>
      </c>
    </row>
    <row r="71" spans="5:65" ht="15.75">
      <c r="E71" s="416">
        <f t="shared" si="12"/>
        <v>45243</v>
      </c>
      <c r="F71" s="331">
        <f t="shared" si="11"/>
        <v>0</v>
      </c>
      <c r="G71" s="331">
        <f>+IF(SUM($F137:F137)&gt;=G202*$F$5,0,G137)</f>
        <v>0</v>
      </c>
      <c r="H71" s="331">
        <f>+IF(SUM($F137:G137)&gt;=H202*$F$5,0,H137)</f>
        <v>0</v>
      </c>
      <c r="I71" s="331">
        <f>+IF(SUM($F137:H137)&gt;=I202*$F$5,0,I137)</f>
        <v>0</v>
      </c>
      <c r="J71" s="331">
        <f>+IF(SUM($F137:I137)&gt;=J202*$F$5,0,J137)</f>
        <v>0</v>
      </c>
      <c r="K71" s="331">
        <f>+IF(SUM($F137:J137)&gt;=K202*$F$5,0,K137)</f>
        <v>0</v>
      </c>
      <c r="L71" s="331">
        <f>+IF(SUM($F137:K137)&gt;=L202*$F$5,0,L137)</f>
        <v>0</v>
      </c>
      <c r="M71" s="331">
        <f>+IF(SUM($F137:L137)&gt;=M202*$F$5,0,M137)</f>
        <v>0</v>
      </c>
      <c r="N71" s="331">
        <f>+IF(SUM($F137:M137)&gt;=N202*$F$5,0,N137)</f>
        <v>0</v>
      </c>
      <c r="O71" s="331">
        <f>+IF(SUM($F137:N137)&gt;=O202*$F$5,0,O137)</f>
        <v>0</v>
      </c>
      <c r="P71" s="331">
        <f>+IF(SUM($F137:O137)&gt;=P202*$F$5,0,P137)</f>
        <v>0</v>
      </c>
      <c r="Q71" s="331">
        <f>+IF(SUM($F137:P137)&gt;=Q202*$F$5,0,Q137)</f>
        <v>0</v>
      </c>
      <c r="R71" s="331">
        <f>+IF(SUM($F137:Q137)&gt;=R202*$F$5,0,R137)</f>
        <v>0</v>
      </c>
      <c r="S71" s="331">
        <f>+IF(SUM($F137:R137)&gt;=S202*$F$5,0,S137)</f>
        <v>0</v>
      </c>
      <c r="T71" s="331">
        <f>+IF(SUM($F137:S137)&gt;=T202*$F$5,0,T137)</f>
        <v>0</v>
      </c>
      <c r="U71" s="331">
        <f>+IF(SUM($F137:T137)&gt;=U202*$F$5,0,U137)</f>
        <v>0</v>
      </c>
      <c r="V71" s="331">
        <f>+IF(SUM($F137:U137)&gt;=V202*$F$5,0,V137)</f>
        <v>0</v>
      </c>
      <c r="W71" s="331">
        <f>+IF(SUM($F137:V137)&gt;=W202*$F$5,0,W137)</f>
        <v>0</v>
      </c>
      <c r="X71" s="331">
        <f>+IF(SUM($F137:W137)&gt;=X202*$F$5,0,X137)</f>
        <v>0</v>
      </c>
      <c r="Y71" s="331">
        <f>+IF(SUM($F137:X137)&gt;=Y202*$F$5,0,Y137)</f>
        <v>0</v>
      </c>
      <c r="Z71" s="331">
        <f>+IF(SUM($F137:Y137)&gt;=Z202*$F$5,0,Z137)</f>
        <v>0</v>
      </c>
      <c r="AA71" s="331">
        <f>+IF(SUM($F137:Z137)&gt;=AA202*$F$5,0,AA137)</f>
        <v>0</v>
      </c>
      <c r="AB71" s="331">
        <f>+IF(SUM($F137:AA137)&gt;=AB202*$F$5,0,AB137)</f>
        <v>0</v>
      </c>
      <c r="AC71" s="331">
        <f>+IF(SUM($F137:AB137)&gt;=AC202*$F$5,0,AC137)</f>
        <v>0</v>
      </c>
      <c r="AD71" s="331">
        <f>+IF(SUM($F137:AC137)&gt;=AD202*$F$5,0,AD137)</f>
        <v>0</v>
      </c>
      <c r="AE71" s="331">
        <f>+IF(SUM($F137:AD137)&gt;=AE202*$F$5,0,AE137)</f>
        <v>0</v>
      </c>
      <c r="AF71" s="331">
        <f>+IF(SUM($F137:AE137)&gt;=AF202*$F$5,0,AF137)</f>
        <v>0</v>
      </c>
      <c r="AG71" s="331">
        <f>+IF(SUM($F137:AF137)&gt;=AG202*$F$5,0,AG137)</f>
        <v>0</v>
      </c>
      <c r="AH71" s="331">
        <f>+IF(SUM($F137:AG137)&gt;=AH202*$F$5,0,AH137)</f>
        <v>0</v>
      </c>
      <c r="AI71" s="331">
        <f>+IF(SUM($F137:AH137)&gt;=AI202*$F$5,0,AI137)</f>
        <v>0</v>
      </c>
      <c r="AJ71" s="331">
        <f>+IF(SUM($F137:AI137)&gt;=AJ202*$F$5,0,AJ137)</f>
        <v>0</v>
      </c>
      <c r="AK71" s="331">
        <f>+IF(SUM($F137:AJ137)&gt;=AK202*$F$5,0,AK137)</f>
        <v>0</v>
      </c>
      <c r="AL71" s="331">
        <f>+IF(SUM($F137:AK137)&gt;=AL202*$F$5,0,AL137)</f>
        <v>0</v>
      </c>
      <c r="AM71" s="331">
        <f>+IF(SUM($F137:AL137)&gt;=AM202*$F$5,0,AM137)</f>
        <v>0</v>
      </c>
      <c r="AN71" s="331">
        <f>+IF(SUM($F137:AM137)&gt;=AN202*$F$5,0,AN137)</f>
        <v>0</v>
      </c>
      <c r="AO71" s="331">
        <f>+IF(SUM($F137:AN137)&gt;=AO202*$F$5,0,AO137)</f>
        <v>0</v>
      </c>
      <c r="AP71" s="331">
        <f>+IF(SUM($F137:AO137)&gt;=AP202*$F$5,0,AP137)</f>
        <v>0</v>
      </c>
      <c r="AQ71" s="331">
        <f>+IF(SUM($F137:AP137)&gt;=AQ202*$F$5,0,AQ137)</f>
        <v>0</v>
      </c>
      <c r="AR71" s="331">
        <f>+IF(SUM($F137:AQ137)&gt;=AR202*$F$5,0,AR137)</f>
        <v>0</v>
      </c>
      <c r="AS71" s="331">
        <f>+IF(SUM($F137:AR137)&gt;=AS202*$F$5,0,AS137)</f>
        <v>0</v>
      </c>
      <c r="AT71" s="331">
        <f>+IF(SUM($F137:AS137)&gt;=AT202*$F$5,0,AT137)</f>
        <v>0</v>
      </c>
      <c r="AU71" s="331">
        <f>+IF(SUM($F137:AT137)&gt;=AU202*$F$5,0,AU137)</f>
        <v>0</v>
      </c>
      <c r="AV71" s="331">
        <f>+IF(SUM($F137:AU137)&gt;=AV202*$F$5,0,AV137)</f>
        <v>0</v>
      </c>
      <c r="AW71" s="331">
        <f>+IF(SUM($F137:AV137)&gt;=AW202*$F$5,0,AW137)</f>
        <v>0</v>
      </c>
      <c r="AX71" s="331">
        <f>+IF(SUM($F137:AW137)&gt;=AX202*$F$5,0,AX137)</f>
        <v>0</v>
      </c>
      <c r="AY71" s="331">
        <f>+IF(SUM($F137:AX137)&gt;=AY202*$F$5,0,AY137)</f>
        <v>0</v>
      </c>
      <c r="AZ71" s="331">
        <f>+IF(SUM($F137:AY137)&gt;=AZ202*$F$5,0,AZ137)</f>
        <v>0</v>
      </c>
      <c r="BA71" s="331">
        <f>+IF(SUM($F137:AZ137)&gt;=BA202*$F$5,0,BA137)</f>
        <v>0</v>
      </c>
      <c r="BB71" s="331">
        <f>+IF(SUM($F137:BA137)&gt;=BB202*$F$5,0,BB137)</f>
        <v>0</v>
      </c>
      <c r="BC71" s="331">
        <f>+IF(SUM($F137:BB137)&gt;=BC202*$F$5,0,BC137)</f>
        <v>0</v>
      </c>
      <c r="BD71" s="331">
        <f>+IF(SUM($F137:BC137)&gt;=BD202*$F$5,0,BD137)</f>
        <v>0</v>
      </c>
      <c r="BE71" s="331">
        <f>+IF(SUM($F137:BD137)&gt;=BE202*$F$5,0,BE137)</f>
        <v>0</v>
      </c>
      <c r="BF71" s="331">
        <f>+IF(SUM($F137:BE137)&gt;=BF202*$F$5,0,BF137)</f>
        <v>0</v>
      </c>
      <c r="BG71" s="331">
        <f>+IF(SUM($F137:BF137)&gt;=BG202*$F$5,0,BG137)</f>
        <v>0</v>
      </c>
      <c r="BH71" s="331">
        <f>+IF(SUM($F137:BG137)&gt;=BH202*$F$5,0,BH137)</f>
        <v>0</v>
      </c>
      <c r="BI71" s="331">
        <f>+IF(SUM($F137:BH137)&gt;=BI202*$F$5,0,BI137)</f>
        <v>0</v>
      </c>
      <c r="BJ71" s="331">
        <f>+IF(SUM($F137:BI137)&gt;=BJ202*$F$5,0,BJ137)</f>
        <v>0</v>
      </c>
      <c r="BK71" s="331">
        <f>+IF(SUM($F137:BJ137)&gt;=BK202*$F$5,0,BK137)</f>
        <v>0</v>
      </c>
      <c r="BL71" s="331">
        <f>+IF(SUM($F137:BK137)&gt;=BL202*$F$5,0,BL137)</f>
        <v>0</v>
      </c>
      <c r="BM71" s="331">
        <f>+IF(SUM($F137:BL137)&gt;=BM202*$F$5,0,BM137)</f>
        <v>0</v>
      </c>
    </row>
    <row r="72" spans="5:65" ht="16.2" thickBot="1">
      <c r="E72" s="416">
        <f t="shared" si="12"/>
        <v>45274</v>
      </c>
      <c r="F72" s="331">
        <f t="shared" si="11"/>
        <v>0</v>
      </c>
      <c r="G72" s="331">
        <f>+IF(SUM($F138:F138)&gt;=G203*$F$5,0,G138)</f>
        <v>0</v>
      </c>
      <c r="H72" s="331">
        <f>+IF(SUM($F138:G138)&gt;=H203*$F$5,0,H138)</f>
        <v>0</v>
      </c>
      <c r="I72" s="331">
        <f>+IF(SUM($F138:H138)&gt;=I203*$F$5,0,I138)</f>
        <v>0</v>
      </c>
      <c r="J72" s="331">
        <f>+IF(SUM($F138:I138)&gt;=J203*$F$5,0,J138)</f>
        <v>0</v>
      </c>
      <c r="K72" s="331">
        <f>+IF(SUM($F138:J138)&gt;=K203*$F$5,0,K138)</f>
        <v>0</v>
      </c>
      <c r="L72" s="331">
        <f>+IF(SUM($F138:K138)&gt;=L203*$F$5,0,L138)</f>
        <v>0</v>
      </c>
      <c r="M72" s="331">
        <f>+IF(SUM($F138:L138)&gt;=M203*$F$5,0,M138)</f>
        <v>0</v>
      </c>
      <c r="N72" s="331">
        <f>+IF(SUM($F138:M138)&gt;=N203*$F$5,0,N138)</f>
        <v>0</v>
      </c>
      <c r="O72" s="331">
        <f>+IF(SUM($F138:N138)&gt;=O203*$F$5,0,O138)</f>
        <v>0</v>
      </c>
      <c r="P72" s="331">
        <f>+IF(SUM($F138:O138)&gt;=P203*$F$5,0,P138)</f>
        <v>0</v>
      </c>
      <c r="Q72" s="331">
        <f>+IF(SUM($F138:P138)&gt;=Q203*$F$5,0,Q138)</f>
        <v>0</v>
      </c>
      <c r="R72" s="331">
        <f>+IF(SUM($F138:Q138)&gt;=R203*$F$5,0,R138)</f>
        <v>0</v>
      </c>
      <c r="S72" s="331">
        <f>+IF(SUM($F138:R138)&gt;=S203*$F$5,0,S138)</f>
        <v>0</v>
      </c>
      <c r="T72" s="331">
        <f>+IF(SUM($F138:S138)&gt;=T203*$F$5,0,T138)</f>
        <v>0</v>
      </c>
      <c r="U72" s="331">
        <f>+IF(SUM($F138:T138)&gt;=U203*$F$5,0,U138)</f>
        <v>0</v>
      </c>
      <c r="V72" s="331">
        <f>+IF(SUM($F138:U138)&gt;=V203*$F$5,0,V138)</f>
        <v>0</v>
      </c>
      <c r="W72" s="331">
        <f>+IF(SUM($F138:V138)&gt;=W203*$F$5,0,W138)</f>
        <v>0</v>
      </c>
      <c r="X72" s="331">
        <f>+IF(SUM($F138:W138)&gt;=X203*$F$5,0,X138)</f>
        <v>0</v>
      </c>
      <c r="Y72" s="331">
        <f>+IF(SUM($F138:X138)&gt;=Y203*$F$5,0,Y138)</f>
        <v>0</v>
      </c>
      <c r="Z72" s="331">
        <f>+IF(SUM($F138:Y138)&gt;=Z203*$F$5,0,Z138)</f>
        <v>0</v>
      </c>
      <c r="AA72" s="331">
        <f>+IF(SUM($F138:Z138)&gt;=AA203*$F$5,0,AA138)</f>
        <v>0</v>
      </c>
      <c r="AB72" s="331">
        <f>+IF(SUM($F138:AA138)&gt;=AB203*$F$5,0,AB138)</f>
        <v>0</v>
      </c>
      <c r="AC72" s="331">
        <f>+IF(SUM($F138:AB138)&gt;=AC203*$F$5,0,AC138)</f>
        <v>0</v>
      </c>
      <c r="AD72" s="331">
        <f>+IF(SUM($F138:AC138)&gt;=AD203*$F$5,0,AD138)</f>
        <v>0</v>
      </c>
      <c r="AE72" s="331">
        <f>+IF(SUM($F138:AD138)&gt;=AE203*$F$5,0,AE138)</f>
        <v>0</v>
      </c>
      <c r="AF72" s="331">
        <f>+IF(SUM($F138:AE138)&gt;=AF203*$F$5,0,AF138)</f>
        <v>0</v>
      </c>
      <c r="AG72" s="331">
        <f>+IF(SUM($F138:AF138)&gt;=AG203*$F$5,0,AG138)</f>
        <v>0</v>
      </c>
      <c r="AH72" s="331">
        <f>+IF(SUM($F138:AG138)&gt;=AH203*$F$5,0,AH138)</f>
        <v>0</v>
      </c>
      <c r="AI72" s="331">
        <f>+IF(SUM($F138:AH138)&gt;=AI203*$F$5,0,AI138)</f>
        <v>0</v>
      </c>
      <c r="AJ72" s="331">
        <f>+IF(SUM($F138:AI138)&gt;=AJ203*$F$5,0,AJ138)</f>
        <v>0</v>
      </c>
      <c r="AK72" s="331">
        <f>+IF(SUM($F138:AJ138)&gt;=AK203*$F$5,0,AK138)</f>
        <v>0</v>
      </c>
      <c r="AL72" s="331">
        <f>+IF(SUM($F138:AK138)&gt;=AL203*$F$5,0,AL138)</f>
        <v>0</v>
      </c>
      <c r="AM72" s="331">
        <f>+IF(SUM($F138:AL138)&gt;=AM203*$F$5,0,AM138)</f>
        <v>0</v>
      </c>
      <c r="AN72" s="331">
        <f>+IF(SUM($F138:AM138)&gt;=AN203*$F$5,0,AN138)</f>
        <v>0</v>
      </c>
      <c r="AO72" s="331">
        <f>+IF(SUM($F138:AN138)&gt;=AO203*$F$5,0,AO138)</f>
        <v>0</v>
      </c>
      <c r="AP72" s="331">
        <f>+IF(SUM($F138:AO138)&gt;=AP203*$F$5,0,AP138)</f>
        <v>0</v>
      </c>
      <c r="AQ72" s="331">
        <f>+IF(SUM($F138:AP138)&gt;=AQ203*$F$5,0,AQ138)</f>
        <v>0</v>
      </c>
      <c r="AR72" s="331">
        <f>+IF(SUM($F138:AQ138)&gt;=AR203*$F$5,0,AR138)</f>
        <v>0</v>
      </c>
      <c r="AS72" s="331">
        <f>+IF(SUM($F138:AR138)&gt;=AS203*$F$5,0,AS138)</f>
        <v>0</v>
      </c>
      <c r="AT72" s="331">
        <f>+IF(SUM($F138:AS138)&gt;=AT203*$F$5,0,AT138)</f>
        <v>0</v>
      </c>
      <c r="AU72" s="331">
        <f>+IF(SUM($F138:AT138)&gt;=AU203*$F$5,0,AU138)</f>
        <v>0</v>
      </c>
      <c r="AV72" s="331">
        <f>+IF(SUM($F138:AU138)&gt;=AV203*$F$5,0,AV138)</f>
        <v>0</v>
      </c>
      <c r="AW72" s="331">
        <f>+IF(SUM($F138:AV138)&gt;=AW203*$F$5,0,AW138)</f>
        <v>0</v>
      </c>
      <c r="AX72" s="331">
        <f>+IF(SUM($F138:AW138)&gt;=AX203*$F$5,0,AX138)</f>
        <v>0</v>
      </c>
      <c r="AY72" s="331">
        <f>+IF(SUM($F138:AX138)&gt;=AY203*$F$5,0,AY138)</f>
        <v>0</v>
      </c>
      <c r="AZ72" s="331">
        <f>+IF(SUM($F138:AY138)&gt;=AZ203*$F$5,0,AZ138)</f>
        <v>0</v>
      </c>
      <c r="BA72" s="331">
        <f>+IF(SUM($F138:AZ138)&gt;=BA203*$F$5,0,BA138)</f>
        <v>0</v>
      </c>
      <c r="BB72" s="331">
        <f>+IF(SUM($F138:BA138)&gt;=BB203*$F$5,0,BB138)</f>
        <v>0</v>
      </c>
      <c r="BC72" s="331">
        <f>+IF(SUM($F138:BB138)&gt;=BC203*$F$5,0,BC138)</f>
        <v>0</v>
      </c>
      <c r="BD72" s="331">
        <f>+IF(SUM($F138:BC138)&gt;=BD203*$F$5,0,BD138)</f>
        <v>0</v>
      </c>
      <c r="BE72" s="331">
        <f>+IF(SUM($F138:BD138)&gt;=BE203*$F$5,0,BE138)</f>
        <v>0</v>
      </c>
      <c r="BF72" s="331">
        <f>+IF(SUM($F138:BE138)&gt;=BF203*$F$5,0,BF138)</f>
        <v>0</v>
      </c>
      <c r="BG72" s="331">
        <f>+IF(SUM($F138:BF138)&gt;=BG203*$F$5,0,BG138)</f>
        <v>0</v>
      </c>
      <c r="BH72" s="331">
        <f>+IF(SUM($F138:BG138)&gt;=BH203*$F$5,0,BH138)</f>
        <v>0</v>
      </c>
      <c r="BI72" s="331">
        <f>+IF(SUM($F138:BH138)&gt;=BI203*$F$5,0,BI138)</f>
        <v>0</v>
      </c>
      <c r="BJ72" s="331">
        <f>+IF(SUM($F138:BI138)&gt;=BJ203*$F$5,0,BJ138)</f>
        <v>0</v>
      </c>
      <c r="BK72" s="331">
        <f>+IF(SUM($F138:BJ138)&gt;=BK203*$F$5,0,BK138)</f>
        <v>0</v>
      </c>
      <c r="BL72" s="331">
        <f>+IF(SUM($F138:BK138)&gt;=BL203*$F$5,0,BL138)</f>
        <v>0</v>
      </c>
      <c r="BM72" s="331">
        <f>+IF(SUM($F138:BL138)&gt;=BM203*$F$5,0,BM138)</f>
        <v>0</v>
      </c>
    </row>
    <row r="73" spans="5:65" s="421" customFormat="1" ht="31.95" customHeight="1" thickBot="1">
      <c r="E73" s="425" t="s">
        <v>211</v>
      </c>
      <c r="F73" s="419">
        <f>+SUM(F13:F72)</f>
        <v>0</v>
      </c>
      <c r="G73" s="419">
        <f aca="true" t="shared" si="13" ref="G73:BM73">+SUM(G13:G72)</f>
        <v>0</v>
      </c>
      <c r="H73" s="419">
        <f t="shared" si="13"/>
        <v>0</v>
      </c>
      <c r="I73" s="419">
        <f t="shared" si="13"/>
        <v>0</v>
      </c>
      <c r="J73" s="419">
        <f t="shared" si="13"/>
        <v>0</v>
      </c>
      <c r="K73" s="419">
        <f t="shared" si="13"/>
        <v>0</v>
      </c>
      <c r="L73" s="419">
        <f t="shared" si="13"/>
        <v>0</v>
      </c>
      <c r="M73" s="419">
        <f t="shared" si="13"/>
        <v>0</v>
      </c>
      <c r="N73" s="419">
        <f t="shared" si="13"/>
        <v>0</v>
      </c>
      <c r="O73" s="419">
        <f t="shared" si="13"/>
        <v>0</v>
      </c>
      <c r="P73" s="419">
        <f t="shared" si="13"/>
        <v>0</v>
      </c>
      <c r="Q73" s="419">
        <f t="shared" si="13"/>
        <v>0</v>
      </c>
      <c r="R73" s="419">
        <f t="shared" si="13"/>
        <v>0</v>
      </c>
      <c r="S73" s="419">
        <f t="shared" si="13"/>
        <v>0</v>
      </c>
      <c r="T73" s="419">
        <f t="shared" si="13"/>
        <v>0</v>
      </c>
      <c r="U73" s="419">
        <f t="shared" si="13"/>
        <v>0</v>
      </c>
      <c r="V73" s="419">
        <f t="shared" si="13"/>
        <v>0</v>
      </c>
      <c r="W73" s="419">
        <f t="shared" si="13"/>
        <v>0</v>
      </c>
      <c r="X73" s="419">
        <f t="shared" si="13"/>
        <v>0</v>
      </c>
      <c r="Y73" s="419">
        <f t="shared" si="13"/>
        <v>0</v>
      </c>
      <c r="Z73" s="419">
        <f t="shared" si="13"/>
        <v>0</v>
      </c>
      <c r="AA73" s="419">
        <f t="shared" si="13"/>
        <v>0</v>
      </c>
      <c r="AB73" s="419">
        <f t="shared" si="13"/>
        <v>0</v>
      </c>
      <c r="AC73" s="419">
        <f t="shared" si="13"/>
        <v>0</v>
      </c>
      <c r="AD73" s="419">
        <f t="shared" si="13"/>
        <v>0</v>
      </c>
      <c r="AE73" s="419">
        <f t="shared" si="13"/>
        <v>0</v>
      </c>
      <c r="AF73" s="419">
        <f t="shared" si="13"/>
        <v>0</v>
      </c>
      <c r="AG73" s="419">
        <f t="shared" si="13"/>
        <v>0</v>
      </c>
      <c r="AH73" s="419">
        <f t="shared" si="13"/>
        <v>0</v>
      </c>
      <c r="AI73" s="419">
        <f t="shared" si="13"/>
        <v>0</v>
      </c>
      <c r="AJ73" s="419">
        <f t="shared" si="13"/>
        <v>0</v>
      </c>
      <c r="AK73" s="419">
        <f t="shared" si="13"/>
        <v>0</v>
      </c>
      <c r="AL73" s="419">
        <f t="shared" si="13"/>
        <v>0</v>
      </c>
      <c r="AM73" s="419">
        <f t="shared" si="13"/>
        <v>0</v>
      </c>
      <c r="AN73" s="419">
        <f t="shared" si="13"/>
        <v>0</v>
      </c>
      <c r="AO73" s="419">
        <f t="shared" si="13"/>
        <v>0</v>
      </c>
      <c r="AP73" s="419">
        <f t="shared" si="13"/>
        <v>0</v>
      </c>
      <c r="AQ73" s="419">
        <f t="shared" si="13"/>
        <v>0</v>
      </c>
      <c r="AR73" s="419">
        <f t="shared" si="13"/>
        <v>0</v>
      </c>
      <c r="AS73" s="419">
        <f t="shared" si="13"/>
        <v>0</v>
      </c>
      <c r="AT73" s="419">
        <f t="shared" si="13"/>
        <v>0</v>
      </c>
      <c r="AU73" s="419">
        <f t="shared" si="13"/>
        <v>0</v>
      </c>
      <c r="AV73" s="419">
        <f t="shared" si="13"/>
        <v>0</v>
      </c>
      <c r="AW73" s="419">
        <f t="shared" si="13"/>
        <v>0</v>
      </c>
      <c r="AX73" s="419">
        <f t="shared" si="13"/>
        <v>0</v>
      </c>
      <c r="AY73" s="419">
        <f t="shared" si="13"/>
        <v>0</v>
      </c>
      <c r="AZ73" s="419">
        <f t="shared" si="13"/>
        <v>0</v>
      </c>
      <c r="BA73" s="419">
        <f t="shared" si="13"/>
        <v>0</v>
      </c>
      <c r="BB73" s="419">
        <f t="shared" si="13"/>
        <v>0</v>
      </c>
      <c r="BC73" s="419">
        <f t="shared" si="13"/>
        <v>0</v>
      </c>
      <c r="BD73" s="419">
        <f t="shared" si="13"/>
        <v>0</v>
      </c>
      <c r="BE73" s="419">
        <f t="shared" si="13"/>
        <v>0</v>
      </c>
      <c r="BF73" s="419">
        <f t="shared" si="13"/>
        <v>0</v>
      </c>
      <c r="BG73" s="419">
        <f t="shared" si="13"/>
        <v>0</v>
      </c>
      <c r="BH73" s="419">
        <f t="shared" si="13"/>
        <v>0</v>
      </c>
      <c r="BI73" s="419">
        <f t="shared" si="13"/>
        <v>0</v>
      </c>
      <c r="BJ73" s="419">
        <f t="shared" si="13"/>
        <v>0</v>
      </c>
      <c r="BK73" s="419">
        <f t="shared" si="13"/>
        <v>0</v>
      </c>
      <c r="BL73" s="419">
        <f t="shared" si="13"/>
        <v>0</v>
      </c>
      <c r="BM73" s="420">
        <f t="shared" si="13"/>
        <v>0</v>
      </c>
    </row>
    <row r="78" spans="6:65" s="113" customFormat="1" ht="36" customHeight="1">
      <c r="F78" s="416">
        <v>43466</v>
      </c>
      <c r="G78" s="416">
        <f>+F78+31</f>
        <v>43497</v>
      </c>
      <c r="H78" s="416">
        <f aca="true" t="shared" si="14" ref="H78:BA78">+G78+31</f>
        <v>43528</v>
      </c>
      <c r="I78" s="416">
        <f t="shared" si="14"/>
        <v>43559</v>
      </c>
      <c r="J78" s="416">
        <f t="shared" si="14"/>
        <v>43590</v>
      </c>
      <c r="K78" s="416">
        <f t="shared" si="14"/>
        <v>43621</v>
      </c>
      <c r="L78" s="416">
        <f t="shared" si="14"/>
        <v>43652</v>
      </c>
      <c r="M78" s="416">
        <f t="shared" si="14"/>
        <v>43683</v>
      </c>
      <c r="N78" s="416">
        <f t="shared" si="14"/>
        <v>43714</v>
      </c>
      <c r="O78" s="416">
        <f t="shared" si="14"/>
        <v>43745</v>
      </c>
      <c r="P78" s="416">
        <f t="shared" si="14"/>
        <v>43776</v>
      </c>
      <c r="Q78" s="416">
        <f t="shared" si="14"/>
        <v>43807</v>
      </c>
      <c r="R78" s="416">
        <f t="shared" si="14"/>
        <v>43838</v>
      </c>
      <c r="S78" s="416">
        <f t="shared" si="14"/>
        <v>43869</v>
      </c>
      <c r="T78" s="416">
        <f t="shared" si="14"/>
        <v>43900</v>
      </c>
      <c r="U78" s="416">
        <f t="shared" si="14"/>
        <v>43931</v>
      </c>
      <c r="V78" s="416">
        <f t="shared" si="14"/>
        <v>43962</v>
      </c>
      <c r="W78" s="416">
        <f t="shared" si="14"/>
        <v>43993</v>
      </c>
      <c r="X78" s="416">
        <f t="shared" si="14"/>
        <v>44024</v>
      </c>
      <c r="Y78" s="416">
        <f t="shared" si="14"/>
        <v>44055</v>
      </c>
      <c r="Z78" s="416">
        <f t="shared" si="14"/>
        <v>44086</v>
      </c>
      <c r="AA78" s="416">
        <f t="shared" si="14"/>
        <v>44117</v>
      </c>
      <c r="AB78" s="416">
        <f t="shared" si="14"/>
        <v>44148</v>
      </c>
      <c r="AC78" s="416">
        <f t="shared" si="14"/>
        <v>44179</v>
      </c>
      <c r="AD78" s="416">
        <f t="shared" si="14"/>
        <v>44210</v>
      </c>
      <c r="AE78" s="416">
        <f t="shared" si="14"/>
        <v>44241</v>
      </c>
      <c r="AF78" s="416">
        <f t="shared" si="14"/>
        <v>44272</v>
      </c>
      <c r="AG78" s="416">
        <f t="shared" si="14"/>
        <v>44303</v>
      </c>
      <c r="AH78" s="416">
        <f t="shared" si="14"/>
        <v>44334</v>
      </c>
      <c r="AI78" s="416">
        <f t="shared" si="14"/>
        <v>44365</v>
      </c>
      <c r="AJ78" s="416">
        <f t="shared" si="14"/>
        <v>44396</v>
      </c>
      <c r="AK78" s="416">
        <f t="shared" si="14"/>
        <v>44427</v>
      </c>
      <c r="AL78" s="416">
        <f t="shared" si="14"/>
        <v>44458</v>
      </c>
      <c r="AM78" s="416">
        <f t="shared" si="14"/>
        <v>44489</v>
      </c>
      <c r="AN78" s="416">
        <f t="shared" si="14"/>
        <v>44520</v>
      </c>
      <c r="AO78" s="416">
        <f t="shared" si="14"/>
        <v>44551</v>
      </c>
      <c r="AP78" s="416">
        <f t="shared" si="14"/>
        <v>44582</v>
      </c>
      <c r="AQ78" s="416">
        <f t="shared" si="14"/>
        <v>44613</v>
      </c>
      <c r="AR78" s="416">
        <f t="shared" si="14"/>
        <v>44644</v>
      </c>
      <c r="AS78" s="416">
        <f t="shared" si="14"/>
        <v>44675</v>
      </c>
      <c r="AT78" s="416">
        <f t="shared" si="14"/>
        <v>44706</v>
      </c>
      <c r="AU78" s="416">
        <f t="shared" si="14"/>
        <v>44737</v>
      </c>
      <c r="AV78" s="416">
        <f t="shared" si="14"/>
        <v>44768</v>
      </c>
      <c r="AW78" s="416">
        <f t="shared" si="14"/>
        <v>44799</v>
      </c>
      <c r="AX78" s="416">
        <f t="shared" si="14"/>
        <v>44830</v>
      </c>
      <c r="AY78" s="416">
        <f t="shared" si="14"/>
        <v>44861</v>
      </c>
      <c r="AZ78" s="416">
        <f t="shared" si="14"/>
        <v>44892</v>
      </c>
      <c r="BA78" s="416">
        <f t="shared" si="14"/>
        <v>44923</v>
      </c>
      <c r="BB78" s="416">
        <f aca="true" t="shared" si="15" ref="BB78">+BA78+31</f>
        <v>44954</v>
      </c>
      <c r="BC78" s="416">
        <f aca="true" t="shared" si="16" ref="BC78">+BB78+31</f>
        <v>44985</v>
      </c>
      <c r="BD78" s="416">
        <f aca="true" t="shared" si="17" ref="BD78">+BC78+31</f>
        <v>45016</v>
      </c>
      <c r="BE78" s="416">
        <f>+BD78+10</f>
        <v>45026</v>
      </c>
      <c r="BF78" s="416">
        <f aca="true" t="shared" si="18" ref="BF78">+BE78+31</f>
        <v>45057</v>
      </c>
      <c r="BG78" s="416">
        <f aca="true" t="shared" si="19" ref="BG78">+BF78+31</f>
        <v>45088</v>
      </c>
      <c r="BH78" s="416">
        <f aca="true" t="shared" si="20" ref="BH78">+BG78+31</f>
        <v>45119</v>
      </c>
      <c r="BI78" s="416">
        <f aca="true" t="shared" si="21" ref="BI78">+BH78+31</f>
        <v>45150</v>
      </c>
      <c r="BJ78" s="416">
        <f aca="true" t="shared" si="22" ref="BJ78">+BI78+31</f>
        <v>45181</v>
      </c>
      <c r="BK78" s="416">
        <f aca="true" t="shared" si="23" ref="BK78">+BJ78+31</f>
        <v>45212</v>
      </c>
      <c r="BL78" s="416">
        <f aca="true" t="shared" si="24" ref="BL78">+BK78+31</f>
        <v>45243</v>
      </c>
      <c r="BM78" s="416">
        <f aca="true" t="shared" si="25" ref="BM78">+BL78+31</f>
        <v>45274</v>
      </c>
    </row>
    <row r="79" spans="5:65" s="331" customFormat="1" ht="15.75">
      <c r="E79" s="416">
        <v>43466</v>
      </c>
      <c r="F79" s="331">
        <f>+F144</f>
        <v>0</v>
      </c>
      <c r="G79" s="331">
        <f>+IF($F$6=0,G144,0)</f>
        <v>0</v>
      </c>
      <c r="H79" s="331">
        <f>+IF($F$6=0,H144,IF($F$6=30,H144,0))</f>
        <v>0</v>
      </c>
      <c r="I79" s="331">
        <f>+IF($F$6=0,I144,IF($F$6=30,0,IF($F$6=60,I144,0)))</f>
        <v>0</v>
      </c>
      <c r="J79" s="331">
        <f>+IF($F$6=0,J144,IF($F$6=30,J144,0))</f>
        <v>0</v>
      </c>
      <c r="K79" s="331">
        <f>+IF($F$6=0,K144,0)</f>
        <v>0</v>
      </c>
      <c r="L79" s="331">
        <f>+L144</f>
        <v>0</v>
      </c>
      <c r="M79" s="331">
        <f>+IF($F$6=0,M144,0)</f>
        <v>0</v>
      </c>
      <c r="N79" s="331">
        <f>+IF($F$6=0,N144,IF($F$6=30,N144,0))</f>
        <v>0</v>
      </c>
      <c r="O79" s="331">
        <f>+IF($F$6=0,O144,IF($F$6=30,0,IF($F$6=60,O144,0)))</f>
        <v>0</v>
      </c>
      <c r="P79" s="331">
        <f>+IF($F$6=0,P144,IF($F$6=30,P144,0))</f>
        <v>0</v>
      </c>
      <c r="Q79" s="331">
        <f>+IF($F$6=0,Q144,0)</f>
        <v>0</v>
      </c>
      <c r="R79" s="331">
        <f>+R144</f>
        <v>0</v>
      </c>
      <c r="S79" s="331">
        <f>+IF($F$6=0,S144,0)</f>
        <v>0</v>
      </c>
      <c r="T79" s="331">
        <f>+IF($F$6=0,T144,IF($F$6=30,T144,0))</f>
        <v>0</v>
      </c>
      <c r="U79" s="331">
        <f>+IF($F$6=0,U144,IF($F$6=30,0,IF($F$6=60,U144,0)))</f>
        <v>0</v>
      </c>
      <c r="V79" s="331">
        <f>+IF($F$6=0,V144,IF($F$6=30,V144,0))</f>
        <v>0</v>
      </c>
      <c r="W79" s="331">
        <f>+IF($F$6=0,W144,0)</f>
        <v>0</v>
      </c>
      <c r="X79" s="331">
        <f>+X144</f>
        <v>0</v>
      </c>
      <c r="Y79" s="331">
        <f>+IF($F$6=0,Y144,0)</f>
        <v>0</v>
      </c>
      <c r="Z79" s="331">
        <f>+IF($F$6=0,Z144,IF($F$6=30,Z144,0))</f>
        <v>0</v>
      </c>
      <c r="AA79" s="331">
        <f>+IF($F$6=0,AA144,IF($F$6=30,0,IF($F$6=60,AA144,0)))</f>
        <v>0</v>
      </c>
      <c r="AB79" s="331">
        <f>+IF($F$6=0,AB144,IF($F$6=30,AB144,0))</f>
        <v>0</v>
      </c>
      <c r="AC79" s="331">
        <f>+IF($F$6=0,AC144,0)</f>
        <v>0</v>
      </c>
      <c r="AD79" s="331">
        <f>+AD144</f>
        <v>0</v>
      </c>
      <c r="AE79" s="331">
        <f>+IF($F$6=0,AE144,0)</f>
        <v>0</v>
      </c>
      <c r="AF79" s="331">
        <f>+IF($F$6=0,AF144,IF($F$6=30,AF144,0))</f>
        <v>0</v>
      </c>
      <c r="AG79" s="331">
        <f>+IF($F$6=0,AG144,IF($F$6=30,0,IF($F$6=60,AG144,0)))</f>
        <v>0</v>
      </c>
      <c r="AH79" s="331">
        <f>+IF($F$6=0,AH144,IF($F$6=30,AH144,0))</f>
        <v>0</v>
      </c>
      <c r="AI79" s="331">
        <f>+IF($F$6=0,AI144,0)</f>
        <v>0</v>
      </c>
      <c r="AJ79" s="331">
        <f>+AJ144</f>
        <v>0</v>
      </c>
      <c r="AK79" s="331">
        <f>+IF($F$6=0,AK144,0)</f>
        <v>0</v>
      </c>
      <c r="AL79" s="331">
        <f>+IF($F$6=0,AL144,IF($F$6=30,AL144,0))</f>
        <v>0</v>
      </c>
      <c r="AM79" s="331">
        <f>+IF($F$6=0,AM144,IF($F$6=30,0,IF($F$6=60,AM144,0)))</f>
        <v>0</v>
      </c>
      <c r="AN79" s="331">
        <f>+IF($F$6=0,AN144,IF($F$6=30,AN144,0))</f>
        <v>0</v>
      </c>
      <c r="AO79" s="331">
        <f>+IF($F$6=0,AO144,0)</f>
        <v>0</v>
      </c>
      <c r="AP79" s="331">
        <f>+AP144</f>
        <v>0</v>
      </c>
      <c r="AQ79" s="331">
        <f>+IF($F$6=0,AQ144,0)</f>
        <v>0</v>
      </c>
      <c r="AR79" s="331">
        <f>+IF($F$6=0,AR144,IF($F$6=30,AR144,0))</f>
        <v>0</v>
      </c>
      <c r="AS79" s="331">
        <f>+IF($F$6=0,AS144,IF($F$6=30,0,IF($F$6=60,AS144,0)))</f>
        <v>0</v>
      </c>
      <c r="AT79" s="331">
        <f>+IF($F$6=0,AT144,IF($F$6=30,AT144,0))</f>
        <v>0</v>
      </c>
      <c r="AU79" s="331">
        <f>+IF($F$6=0,AU144,0)</f>
        <v>0</v>
      </c>
      <c r="AV79" s="331">
        <f>+AV144</f>
        <v>0</v>
      </c>
      <c r="AW79" s="331">
        <f>+IF($F$6=0,AW144,0)</f>
        <v>0</v>
      </c>
      <c r="AX79" s="331">
        <f>+IF($F$6=0,AX144,IF($F$6=30,AX144,0))</f>
        <v>0</v>
      </c>
      <c r="AY79" s="331">
        <f>+IF($F$6=0,AY144,IF($F$6=30,0,IF($F$6=60,AY144,0)))</f>
        <v>0</v>
      </c>
      <c r="AZ79" s="331">
        <f>+IF($F$6=0,AZ144,IF($F$6=30,AZ144,0))</f>
        <v>0</v>
      </c>
      <c r="BA79" s="331">
        <f>+IF($F$6=0,BA144,0)</f>
        <v>0</v>
      </c>
      <c r="BB79" s="331">
        <f>+BB144</f>
        <v>0</v>
      </c>
      <c r="BC79" s="331">
        <f>+IF($F$6=0,BC144,0)</f>
        <v>0</v>
      </c>
      <c r="BD79" s="331">
        <f>+IF($F$6=0,BD144,IF($F$6=30,BD144,0))</f>
        <v>0</v>
      </c>
      <c r="BE79" s="331">
        <f>+IF($F$6=0,BE144,IF($F$6=30,0,IF($F$6=60,BE144,0)))</f>
        <v>0</v>
      </c>
      <c r="BF79" s="331">
        <f>+IF($F$6=0,BF144,IF($F$6=30,BF144,0))</f>
        <v>0</v>
      </c>
      <c r="BG79" s="331">
        <f>+IF($F$6=0,BG144,0)</f>
        <v>0</v>
      </c>
      <c r="BH79" s="331">
        <f>+BH144</f>
        <v>0</v>
      </c>
      <c r="BI79" s="331">
        <f>+IF($F$6=0,BI144,0)</f>
        <v>0</v>
      </c>
      <c r="BJ79" s="331">
        <f>+IF($F$6=0,BJ144,IF($F$6=30,BJ144,0))</f>
        <v>0</v>
      </c>
      <c r="BK79" s="331">
        <f>+IF($F$6=0,BK144,IF($F$6=30,0,IF($F$6=60,BK144,0)))</f>
        <v>0</v>
      </c>
      <c r="BL79" s="331">
        <f>+IF($F$6=0,BL144,IF($F$6=30,BL144,0))</f>
        <v>0</v>
      </c>
      <c r="BM79" s="331">
        <f>+IF($F$6=0,BM144,0)</f>
        <v>0</v>
      </c>
    </row>
    <row r="80" spans="5:66" ht="15.75">
      <c r="E80" s="416">
        <f>+E79+31</f>
        <v>43497</v>
      </c>
      <c r="F80" s="331"/>
      <c r="G80" s="331">
        <f>+G145</f>
        <v>0</v>
      </c>
      <c r="H80" s="331">
        <f>+IF($F$6=0,H145,0)</f>
        <v>0</v>
      </c>
      <c r="I80" s="331">
        <f>+IF($F$6=0,I145,IF($F$6=30,I145,0))</f>
        <v>0</v>
      </c>
      <c r="J80" s="331">
        <f>+IF($F$6=0,J145,IF($F$6=30,0,IF($F$6=60,J145,0)))</f>
        <v>0</v>
      </c>
      <c r="K80" s="331">
        <f>+IF($F$6=0,K145,IF($F$6=30,K145,0))</f>
        <v>0</v>
      </c>
      <c r="L80" s="331">
        <f>+IF($F$6=0,L145,0)</f>
        <v>0</v>
      </c>
      <c r="M80" s="331">
        <f>+M145</f>
        <v>0</v>
      </c>
      <c r="N80" s="331">
        <f>+IF($F$6=0,N145,0)</f>
        <v>0</v>
      </c>
      <c r="O80" s="331">
        <f>+IF($F$6=0,O145,IF($F$6=30,O145,0))</f>
        <v>0</v>
      </c>
      <c r="P80" s="331">
        <f>+IF($F$6=0,P145,IF($F$6=30,0,IF($F$6=60,P145,0)))</f>
        <v>0</v>
      </c>
      <c r="Q80" s="331">
        <f>+IF($F$6=0,Q145,IF($F$6=30,Q145,0))</f>
        <v>0</v>
      </c>
      <c r="R80" s="331">
        <f>+IF($F$6=0,R145,0)</f>
        <v>0</v>
      </c>
      <c r="S80" s="331">
        <f>+S145</f>
        <v>0</v>
      </c>
      <c r="T80" s="331">
        <f>+IF($F$6=0,T145,0)</f>
        <v>0</v>
      </c>
      <c r="U80" s="331">
        <f>+IF($F$6=0,U145,IF($F$6=30,U145,0))</f>
        <v>0</v>
      </c>
      <c r="V80" s="331">
        <f>+IF($F$6=0,V145,IF($F$6=30,0,IF($F$6=60,V145,0)))</f>
        <v>0</v>
      </c>
      <c r="W80" s="331">
        <f>+IF($F$6=0,W145,IF($F$6=30,W145,0))</f>
        <v>0</v>
      </c>
      <c r="X80" s="331">
        <f>+IF($F$6=0,X145,0)</f>
        <v>0</v>
      </c>
      <c r="Y80" s="331">
        <f>+Y145</f>
        <v>0</v>
      </c>
      <c r="Z80" s="331">
        <f>+IF($F$6=0,Z145,0)</f>
        <v>0</v>
      </c>
      <c r="AA80" s="331">
        <f>+IF($F$6=0,AA145,IF($F$6=30,AA145,0))</f>
        <v>0</v>
      </c>
      <c r="AB80" s="331">
        <f>+IF($F$6=0,AB145,IF($F$6=30,0,IF($F$6=60,AB145,0)))</f>
        <v>0</v>
      </c>
      <c r="AC80" s="331">
        <f>+IF($F$6=0,AC145,IF($F$6=30,AC145,0))</f>
        <v>0</v>
      </c>
      <c r="AD80" s="331">
        <f>+IF($F$6=0,AD145,0)</f>
        <v>0</v>
      </c>
      <c r="AE80" s="331">
        <f>+AE145</f>
        <v>0</v>
      </c>
      <c r="AF80" s="331">
        <f>+IF($F$6=0,AF145,0)</f>
        <v>0</v>
      </c>
      <c r="AG80" s="331">
        <f>+IF($F$6=0,AG145,IF($F$6=30,AG145,0))</f>
        <v>0</v>
      </c>
      <c r="AH80" s="331">
        <f>+IF($F$6=0,AH145,IF($F$6=30,0,IF($F$6=60,AH145,0)))</f>
        <v>0</v>
      </c>
      <c r="AI80" s="331">
        <f>+IF($F$6=0,AI145,IF($F$6=30,AI145,0))</f>
        <v>0</v>
      </c>
      <c r="AJ80" s="331">
        <f>+IF($F$6=0,AJ145,0)</f>
        <v>0</v>
      </c>
      <c r="AK80" s="331">
        <f>+AK145</f>
        <v>0</v>
      </c>
      <c r="AL80" s="331">
        <f>+IF($F$6=0,AL145,0)</f>
        <v>0</v>
      </c>
      <c r="AM80" s="331">
        <f>+IF($F$6=0,AM145,IF($F$6=30,AM145,0))</f>
        <v>0</v>
      </c>
      <c r="AN80" s="331">
        <f>+IF($F$6=0,AN145,IF($F$6=30,0,IF($F$6=60,AN145,0)))</f>
        <v>0</v>
      </c>
      <c r="AO80" s="331">
        <f>+IF($F$6=0,AO145,IF($F$6=30,AO145,0))</f>
        <v>0</v>
      </c>
      <c r="AP80" s="331">
        <f>+IF($F$6=0,AP145,0)</f>
        <v>0</v>
      </c>
      <c r="AQ80" s="331">
        <f>+AQ145</f>
        <v>0</v>
      </c>
      <c r="AR80" s="331">
        <f>+IF($F$6=0,AR145,0)</f>
        <v>0</v>
      </c>
      <c r="AS80" s="331">
        <f>+IF($F$6=0,AS145,IF($F$6=30,AS145,0))</f>
        <v>0</v>
      </c>
      <c r="AT80" s="331">
        <f>+IF($F$6=0,AT145,IF($F$6=30,0,IF($F$6=60,AT145,0)))</f>
        <v>0</v>
      </c>
      <c r="AU80" s="331">
        <f>+IF($F$6=0,AU145,IF($F$6=30,AU145,0))</f>
        <v>0</v>
      </c>
      <c r="AV80" s="331">
        <f>+IF($F$6=0,AV145,0)</f>
        <v>0</v>
      </c>
      <c r="AW80" s="331">
        <f>+AW145</f>
        <v>0</v>
      </c>
      <c r="AX80" s="331">
        <f>+IF($F$6=0,AX145,0)</f>
        <v>0</v>
      </c>
      <c r="AY80" s="331">
        <f>+IF($F$6=0,AY145,IF($F$6=30,AY145,0))</f>
        <v>0</v>
      </c>
      <c r="AZ80" s="331">
        <f>+IF($F$6=0,AZ145,IF($F$6=30,0,IF($F$6=60,AZ145,0)))</f>
        <v>0</v>
      </c>
      <c r="BA80" s="331">
        <f>+IF($F$6=0,BA145,IF($F$6=30,BA145,0))</f>
        <v>0</v>
      </c>
      <c r="BB80" s="331">
        <f>+IF($F$6=0,BB145,0)</f>
        <v>0</v>
      </c>
      <c r="BC80" s="331">
        <f>+BC145</f>
        <v>0</v>
      </c>
      <c r="BD80" s="331">
        <f>+IF($F$6=0,BD145,0)</f>
        <v>0</v>
      </c>
      <c r="BE80" s="331">
        <f>+IF($F$6=0,BE145,IF($F$6=30,BE145,0))</f>
        <v>0</v>
      </c>
      <c r="BF80" s="331">
        <f>+IF($F$6=0,BF145,IF($F$6=30,0,IF($F$6=60,BF145,0)))</f>
        <v>0</v>
      </c>
      <c r="BG80" s="331">
        <f>+IF($F$6=0,BG145,IF($F$6=30,BG145,0))</f>
        <v>0</v>
      </c>
      <c r="BH80" s="331">
        <f>+IF($F$6=0,BH145,0)</f>
        <v>0</v>
      </c>
      <c r="BI80" s="331">
        <f>+BI145</f>
        <v>0</v>
      </c>
      <c r="BJ80" s="331">
        <f>+IF($F$6=0,BJ145,0)</f>
        <v>0</v>
      </c>
      <c r="BK80" s="331">
        <f>+IF($F$6=0,BK145,IF($F$6=30,BK145,0))</f>
        <v>0</v>
      </c>
      <c r="BL80" s="331">
        <f>+IF($F$6=0,BL145,IF($F$6=30,0,IF($F$6=60,BL145,0)))</f>
        <v>0</v>
      </c>
      <c r="BM80" s="331">
        <f>+IF($F$6=0,BM145,IF($F$6=30,BM145,0))</f>
        <v>0</v>
      </c>
      <c r="BN80" s="331"/>
    </row>
    <row r="81" spans="5:67" ht="15.75">
      <c r="E81" s="416">
        <f aca="true" t="shared" si="26" ref="E81:E138">+E80+31</f>
        <v>43528</v>
      </c>
      <c r="F81" s="331"/>
      <c r="G81" s="331"/>
      <c r="H81" s="331">
        <f>+H146</f>
        <v>0</v>
      </c>
      <c r="I81" s="331">
        <f>+IF($F$6=0,I146,0)</f>
        <v>0</v>
      </c>
      <c r="J81" s="331">
        <f>+IF($F$6=0,J146,IF($F$6=30,J146,0))</f>
        <v>0</v>
      </c>
      <c r="K81" s="331">
        <f>+IF($F$6=0,K146,IF($F$6=30,0,IF($F$6=60,K146,0)))</f>
        <v>0</v>
      </c>
      <c r="L81" s="331">
        <f>+IF($F$6=0,L146,IF($F$6=30,L146,0))</f>
        <v>0</v>
      </c>
      <c r="M81" s="331">
        <f>+IF($F$6=0,M146,0)</f>
        <v>0</v>
      </c>
      <c r="N81" s="331">
        <f>+N146</f>
        <v>0</v>
      </c>
      <c r="O81" s="331">
        <f>+IF($F$6=0,O146,0)</f>
        <v>0</v>
      </c>
      <c r="P81" s="331">
        <f>+IF($F$6=0,P146,IF($F$6=30,P146,0))</f>
        <v>0</v>
      </c>
      <c r="Q81" s="331">
        <f>+IF($F$6=0,Q146,IF($F$6=30,0,IF($F$6=60,Q146,0)))</f>
        <v>0</v>
      </c>
      <c r="R81" s="331">
        <f>+IF($F$6=0,R146,IF($F$6=30,R146,0))</f>
        <v>0</v>
      </c>
      <c r="S81" s="331">
        <f>+IF($F$6=0,S146,0)</f>
        <v>0</v>
      </c>
      <c r="T81" s="331">
        <f>+T146</f>
        <v>0</v>
      </c>
      <c r="U81" s="331">
        <f>+IF($F$6=0,U146,0)</f>
        <v>0</v>
      </c>
      <c r="V81" s="331">
        <f>+IF($F$6=0,V146,IF($F$6=30,V146,0))</f>
        <v>0</v>
      </c>
      <c r="W81" s="331">
        <f>+IF($F$6=0,W146,IF($F$6=30,0,IF($F$6=60,W146,0)))</f>
        <v>0</v>
      </c>
      <c r="X81" s="331">
        <f>+IF($F$6=0,X146,IF($F$6=30,X146,0))</f>
        <v>0</v>
      </c>
      <c r="Y81" s="331">
        <f>+IF($F$6=0,Y146,0)</f>
        <v>0</v>
      </c>
      <c r="Z81" s="331">
        <f>+Z146</f>
        <v>0</v>
      </c>
      <c r="AA81" s="331">
        <f>+IF($F$6=0,AA146,0)</f>
        <v>0</v>
      </c>
      <c r="AB81" s="331">
        <f>+IF($F$6=0,AB146,IF($F$6=30,AB146,0))</f>
        <v>0</v>
      </c>
      <c r="AC81" s="331">
        <f>+IF($F$6=0,AC146,IF($F$6=30,0,IF($F$6=60,AC146,0)))</f>
        <v>0</v>
      </c>
      <c r="AD81" s="331">
        <f>+IF($F$6=0,AD146,IF($F$6=30,AD146,0))</f>
        <v>0</v>
      </c>
      <c r="AE81" s="331">
        <f>+IF($F$6=0,AE146,0)</f>
        <v>0</v>
      </c>
      <c r="AF81" s="331">
        <f>+AF146</f>
        <v>0</v>
      </c>
      <c r="AG81" s="331">
        <f>+IF($F$6=0,AG146,0)</f>
        <v>0</v>
      </c>
      <c r="AH81" s="331">
        <f>+IF($F$6=0,AH146,IF($F$6=30,AH146,0))</f>
        <v>0</v>
      </c>
      <c r="AI81" s="331">
        <f>+IF($F$6=0,AI146,IF($F$6=30,0,IF($F$6=60,AI146,0)))</f>
        <v>0</v>
      </c>
      <c r="AJ81" s="331">
        <f>+IF($F$6=0,AJ146,IF($F$6=30,AJ146,0))</f>
        <v>0</v>
      </c>
      <c r="AK81" s="331">
        <f>+IF($F$6=0,AK146,0)</f>
        <v>0</v>
      </c>
      <c r="AL81" s="331">
        <f>+AL146</f>
        <v>0</v>
      </c>
      <c r="AM81" s="331">
        <f>+IF($F$6=0,AM146,0)</f>
        <v>0</v>
      </c>
      <c r="AN81" s="331">
        <f>+IF($F$6=0,AN146,IF($F$6=30,AN146,0))</f>
        <v>0</v>
      </c>
      <c r="AO81" s="331">
        <f>+IF($F$6=0,AO146,IF($F$6=30,0,IF($F$6=60,AO146,0)))</f>
        <v>0</v>
      </c>
      <c r="AP81" s="331">
        <f>+IF($F$6=0,AP146,IF($F$6=30,AP146,0))</f>
        <v>0</v>
      </c>
      <c r="AQ81" s="331">
        <f>+IF($F$6=0,AQ146,0)</f>
        <v>0</v>
      </c>
      <c r="AR81" s="331">
        <f>+AR146</f>
        <v>0</v>
      </c>
      <c r="AS81" s="331">
        <f>+IF($F$6=0,AS146,0)</f>
        <v>0</v>
      </c>
      <c r="AT81" s="331">
        <f>+IF($F$6=0,AT146,IF($F$6=30,AT146,0))</f>
        <v>0</v>
      </c>
      <c r="AU81" s="331">
        <f>+IF($F$6=0,AU146,IF($F$6=30,0,IF($F$6=60,AU146,0)))</f>
        <v>0</v>
      </c>
      <c r="AV81" s="331">
        <f>+IF($F$6=0,AV146,IF($F$6=30,AV146,0))</f>
        <v>0</v>
      </c>
      <c r="AW81" s="331">
        <f>+IF($F$6=0,AW146,0)</f>
        <v>0</v>
      </c>
      <c r="AX81" s="331">
        <f>+AX146</f>
        <v>0</v>
      </c>
      <c r="AY81" s="331">
        <f>+IF($F$6=0,AY146,0)</f>
        <v>0</v>
      </c>
      <c r="AZ81" s="331">
        <f>+IF($F$6=0,AZ146,IF($F$6=30,AZ146,0))</f>
        <v>0</v>
      </c>
      <c r="BA81" s="331">
        <f>+IF($F$6=0,BA146,IF($F$6=30,0,IF($F$6=60,BA146,0)))</f>
        <v>0</v>
      </c>
      <c r="BB81" s="331">
        <f>+IF($F$6=0,BB146,IF($F$6=30,BB146,0))</f>
        <v>0</v>
      </c>
      <c r="BC81" s="331">
        <f>+IF($F$6=0,BC146,0)</f>
        <v>0</v>
      </c>
      <c r="BD81" s="331">
        <f>+BD146</f>
        <v>0</v>
      </c>
      <c r="BE81" s="331">
        <f>+IF($F$6=0,BE146,0)</f>
        <v>0</v>
      </c>
      <c r="BF81" s="331">
        <f>+IF($F$6=0,BF146,IF($F$6=30,BF146,0))</f>
        <v>0</v>
      </c>
      <c r="BG81" s="331">
        <f>+IF($F$6=0,BG146,IF($F$6=30,0,IF($F$6=60,BG146,0)))</f>
        <v>0</v>
      </c>
      <c r="BH81" s="331">
        <f>+IF($F$6=0,BH146,IF($F$6=30,BH146,0))</f>
        <v>0</v>
      </c>
      <c r="BI81" s="331">
        <f>+IF($F$6=0,BI146,0)</f>
        <v>0</v>
      </c>
      <c r="BJ81" s="331">
        <f>+BJ146</f>
        <v>0</v>
      </c>
      <c r="BK81" s="331">
        <f>+IF($F$6=0,BK146,0)</f>
        <v>0</v>
      </c>
      <c r="BL81" s="331">
        <f>+IF($F$6=0,BL146,IF($F$6=30,BL146,0))</f>
        <v>0</v>
      </c>
      <c r="BM81" s="331">
        <f>+IF($F$6=0,BM146,IF($F$6=30,0,IF($F$6=60,BM146,0)))</f>
        <v>0</v>
      </c>
      <c r="BN81" s="331"/>
      <c r="BO81" s="331"/>
    </row>
    <row r="82" spans="5:68" ht="15.75">
      <c r="E82" s="416">
        <f t="shared" si="26"/>
        <v>43559</v>
      </c>
      <c r="F82" s="331"/>
      <c r="G82" s="331"/>
      <c r="H82" s="331"/>
      <c r="I82" s="331">
        <f>+I147</f>
        <v>0</v>
      </c>
      <c r="J82" s="331">
        <f>+IF($F$6=0,J147,0)</f>
        <v>0</v>
      </c>
      <c r="K82" s="331">
        <f>+IF($F$6=0,K147,IF($F$6=30,K147,0))</f>
        <v>0</v>
      </c>
      <c r="L82" s="331">
        <f>+IF($F$6=0,L147,IF($F$6=30,0,IF($F$6=60,L147,0)))</f>
        <v>0</v>
      </c>
      <c r="M82" s="331">
        <f>+IF($F$6=0,M147,IF($F$6=30,M147,0))</f>
        <v>0</v>
      </c>
      <c r="N82" s="331">
        <f>+IF($F$6=0,N147,0)</f>
        <v>0</v>
      </c>
      <c r="O82" s="331">
        <f>+O147</f>
        <v>0</v>
      </c>
      <c r="P82" s="331">
        <f>+IF($F$6=0,P147,0)</f>
        <v>0</v>
      </c>
      <c r="Q82" s="331">
        <f>+IF($F$6=0,Q147,IF($F$6=30,Q147,0))</f>
        <v>0</v>
      </c>
      <c r="R82" s="331">
        <f>+IF($F$6=0,R147,IF($F$6=30,0,IF($F$6=60,R147,0)))</f>
        <v>0</v>
      </c>
      <c r="S82" s="331">
        <f>+IF($F$6=0,S147,IF($F$6=30,S147,0))</f>
        <v>0</v>
      </c>
      <c r="T82" s="331">
        <f>+IF($F$6=0,T147,0)</f>
        <v>0</v>
      </c>
      <c r="U82" s="331">
        <f>+U147</f>
        <v>0</v>
      </c>
      <c r="V82" s="331">
        <f>+IF($F$6=0,V147,0)</f>
        <v>0</v>
      </c>
      <c r="W82" s="331">
        <f>+IF($F$6=0,W147,IF($F$6=30,W147,0))</f>
        <v>0</v>
      </c>
      <c r="X82" s="331">
        <f>+IF($F$6=0,X147,IF($F$6=30,0,IF($F$6=60,X147,0)))</f>
        <v>0</v>
      </c>
      <c r="Y82" s="331">
        <f>+IF($F$6=0,Y147,IF($F$6=30,Y147,0))</f>
        <v>0</v>
      </c>
      <c r="Z82" s="331">
        <f>+IF($F$6=0,Z147,0)</f>
        <v>0</v>
      </c>
      <c r="AA82" s="331">
        <f>+AA147</f>
        <v>0</v>
      </c>
      <c r="AB82" s="331">
        <f>+IF($F$6=0,AB147,0)</f>
        <v>0</v>
      </c>
      <c r="AC82" s="331">
        <f>+IF($F$6=0,AC147,IF($F$6=30,AC147,0))</f>
        <v>0</v>
      </c>
      <c r="AD82" s="331">
        <f>+IF($F$6=0,AD147,IF($F$6=30,0,IF($F$6=60,AD147,0)))</f>
        <v>0</v>
      </c>
      <c r="AE82" s="331">
        <f>+IF($F$6=0,AE147,IF($F$6=30,AE147,0))</f>
        <v>0</v>
      </c>
      <c r="AF82" s="331">
        <f>+IF($F$6=0,AF147,0)</f>
        <v>0</v>
      </c>
      <c r="AG82" s="331">
        <f>+AG147</f>
        <v>0</v>
      </c>
      <c r="AH82" s="331">
        <f>+IF($F$6=0,AH147,0)</f>
        <v>0</v>
      </c>
      <c r="AI82" s="331">
        <f>+IF($F$6=0,AI147,IF($F$6=30,AI147,0))</f>
        <v>0</v>
      </c>
      <c r="AJ82" s="331">
        <f>+IF($F$6=0,AJ147,IF($F$6=30,0,IF($F$6=60,AJ147,0)))</f>
        <v>0</v>
      </c>
      <c r="AK82" s="331">
        <f>+IF($F$6=0,AK147,IF($F$6=30,AK147,0))</f>
        <v>0</v>
      </c>
      <c r="AL82" s="331">
        <f>+IF($F$6=0,AL147,0)</f>
        <v>0</v>
      </c>
      <c r="AM82" s="331">
        <f>+AM147</f>
        <v>0</v>
      </c>
      <c r="AN82" s="331">
        <f>+IF($F$6=0,AN147,0)</f>
        <v>0</v>
      </c>
      <c r="AO82" s="331">
        <f>+IF($F$6=0,AO147,IF($F$6=30,AO147,0))</f>
        <v>0</v>
      </c>
      <c r="AP82" s="331">
        <f>+IF($F$6=0,AP147,IF($F$6=30,0,IF($F$6=60,AP147,0)))</f>
        <v>0</v>
      </c>
      <c r="AQ82" s="331">
        <f>+IF($F$6=0,AQ147,IF($F$6=30,AQ147,0))</f>
        <v>0</v>
      </c>
      <c r="AR82" s="331">
        <f>+IF($F$6=0,AR147,0)</f>
        <v>0</v>
      </c>
      <c r="AS82" s="331">
        <f>+AS147</f>
        <v>0</v>
      </c>
      <c r="AT82" s="331">
        <f>+IF($F$6=0,AT147,0)</f>
        <v>0</v>
      </c>
      <c r="AU82" s="331">
        <f>+IF($F$6=0,AU147,IF($F$6=30,AU147,0))</f>
        <v>0</v>
      </c>
      <c r="AV82" s="331">
        <f>+IF($F$6=0,AV147,IF($F$6=30,0,IF($F$6=60,AV147,0)))</f>
        <v>0</v>
      </c>
      <c r="AW82" s="331">
        <f>+IF($F$6=0,AW147,IF($F$6=30,AW147,0))</f>
        <v>0</v>
      </c>
      <c r="AX82" s="331">
        <f>+IF($F$6=0,AX147,0)</f>
        <v>0</v>
      </c>
      <c r="AY82" s="331">
        <f>+AY147</f>
        <v>0</v>
      </c>
      <c r="AZ82" s="331">
        <f>+IF($F$6=0,AZ147,0)</f>
        <v>0</v>
      </c>
      <c r="BA82" s="331">
        <f>+IF($F$6=0,BA147,IF($F$6=30,BA147,0))</f>
        <v>0</v>
      </c>
      <c r="BB82" s="331">
        <f>+IF($F$6=0,BB147,IF($F$6=30,0,IF($F$6=60,BB147,0)))</f>
        <v>0</v>
      </c>
      <c r="BC82" s="331">
        <f>+IF($F$6=0,BC147,IF($F$6=30,BC147,0))</f>
        <v>0</v>
      </c>
      <c r="BD82" s="331">
        <f>+IF($F$6=0,BD147,0)</f>
        <v>0</v>
      </c>
      <c r="BE82" s="331">
        <f>+BE147</f>
        <v>0</v>
      </c>
      <c r="BF82" s="331">
        <f>+IF($F$6=0,BF147,0)</f>
        <v>0</v>
      </c>
      <c r="BG82" s="331">
        <f>+IF($F$6=0,BG147,IF($F$6=30,BG147,0))</f>
        <v>0</v>
      </c>
      <c r="BH82" s="331">
        <f>+IF($F$6=0,BH147,IF($F$6=30,0,IF($F$6=60,BH147,0)))</f>
        <v>0</v>
      </c>
      <c r="BI82" s="331">
        <f>+IF($F$6=0,BI147,IF($F$6=30,BI147,0))</f>
        <v>0</v>
      </c>
      <c r="BJ82" s="331">
        <f>+IF($F$6=0,BJ147,0)</f>
        <v>0</v>
      </c>
      <c r="BK82" s="331">
        <f>+BK147</f>
        <v>0</v>
      </c>
      <c r="BL82" s="331">
        <f>+IF($F$6=0,BL147,0)</f>
        <v>0</v>
      </c>
      <c r="BM82" s="331">
        <f>+IF($F$6=0,BM147,IF($F$6=30,BM147,0))</f>
        <v>0</v>
      </c>
      <c r="BN82" s="331"/>
      <c r="BO82" s="331"/>
      <c r="BP82" s="331"/>
    </row>
    <row r="83" spans="3:69" ht="15.75">
      <c r="C83" s="5"/>
      <c r="E83" s="416">
        <f t="shared" si="26"/>
        <v>43590</v>
      </c>
      <c r="F83" s="331"/>
      <c r="G83" s="331"/>
      <c r="H83" s="331"/>
      <c r="I83" s="331"/>
      <c r="J83" s="331">
        <f>+J148</f>
        <v>0</v>
      </c>
      <c r="K83" s="331">
        <f>+IF($F$6=0,K148,0)</f>
        <v>0</v>
      </c>
      <c r="L83" s="331">
        <f>+IF($F$6=0,L148,IF($F$6=30,L148,0))</f>
        <v>0</v>
      </c>
      <c r="M83" s="331">
        <f>+IF($F$6=0,M148,IF($F$6=30,0,IF($F$6=60,M148,0)))</f>
        <v>0</v>
      </c>
      <c r="N83" s="331">
        <f>+IF($F$6=0,N148,IF($F$6=30,N148,0))</f>
        <v>0</v>
      </c>
      <c r="O83" s="331">
        <f>+IF($F$6=0,O148,0)</f>
        <v>0</v>
      </c>
      <c r="P83" s="331">
        <f>+P148</f>
        <v>0</v>
      </c>
      <c r="Q83" s="331">
        <f>+IF($F$6=0,Q148,0)</f>
        <v>0</v>
      </c>
      <c r="R83" s="331">
        <f>+IF($F$6=0,R148,IF($F$6=30,R148,0))</f>
        <v>0</v>
      </c>
      <c r="S83" s="331">
        <f>+IF($F$6=0,S148,IF($F$6=30,0,IF($F$6=60,S148,0)))</f>
        <v>0</v>
      </c>
      <c r="T83" s="331">
        <f>+IF($F$6=0,T148,IF($F$6=30,T148,0))</f>
        <v>0</v>
      </c>
      <c r="U83" s="331">
        <f>+IF($F$6=0,U148,0)</f>
        <v>0</v>
      </c>
      <c r="V83" s="331">
        <f>+V148</f>
        <v>0</v>
      </c>
      <c r="W83" s="331">
        <f>+IF($F$6=0,W148,0)</f>
        <v>0</v>
      </c>
      <c r="X83" s="331">
        <f>+IF($F$6=0,X148,IF($F$6=30,X148,0))</f>
        <v>0</v>
      </c>
      <c r="Y83" s="331">
        <f>+IF($F$6=0,Y148,IF($F$6=30,0,IF($F$6=60,Y148,0)))</f>
        <v>0</v>
      </c>
      <c r="Z83" s="331">
        <f>+IF($F$6=0,Z148,IF($F$6=30,Z148,0))</f>
        <v>0</v>
      </c>
      <c r="AA83" s="331">
        <f>+IF($F$6=0,AA148,0)</f>
        <v>0</v>
      </c>
      <c r="AB83" s="331">
        <f>+AB148</f>
        <v>0</v>
      </c>
      <c r="AC83" s="331">
        <f>+IF($F$6=0,AC148,0)</f>
        <v>0</v>
      </c>
      <c r="AD83" s="331">
        <f>+IF($F$6=0,AD148,IF($F$6=30,AD148,0))</f>
        <v>0</v>
      </c>
      <c r="AE83" s="331">
        <f>+IF($F$6=0,AE148,IF($F$6=30,0,IF($F$6=60,AE148,0)))</f>
        <v>0</v>
      </c>
      <c r="AF83" s="331">
        <f>+IF($F$6=0,AF148,IF($F$6=30,AF148,0))</f>
        <v>0</v>
      </c>
      <c r="AG83" s="331">
        <f>+IF($F$6=0,AG148,0)</f>
        <v>0</v>
      </c>
      <c r="AH83" s="331">
        <f>+AH148</f>
        <v>0</v>
      </c>
      <c r="AI83" s="331">
        <f>+IF($F$6=0,AI148,0)</f>
        <v>0</v>
      </c>
      <c r="AJ83" s="331">
        <f>+IF($F$6=0,AJ148,IF($F$6=30,AJ148,0))</f>
        <v>0</v>
      </c>
      <c r="AK83" s="331">
        <f>+IF($F$6=0,AK148,IF($F$6=30,0,IF($F$6=60,AK148,0)))</f>
        <v>0</v>
      </c>
      <c r="AL83" s="331">
        <f>+IF($F$6=0,AL148,IF($F$6=30,AL148,0))</f>
        <v>0</v>
      </c>
      <c r="AM83" s="331">
        <f>+IF($F$6=0,AM148,0)</f>
        <v>0</v>
      </c>
      <c r="AN83" s="331">
        <f>+AN148</f>
        <v>0</v>
      </c>
      <c r="AO83" s="331">
        <f>+IF($F$6=0,AO148,0)</f>
        <v>0</v>
      </c>
      <c r="AP83" s="331">
        <f>+IF($F$6=0,AP148,IF($F$6=30,AP148,0))</f>
        <v>0</v>
      </c>
      <c r="AQ83" s="331">
        <f>+IF($F$6=0,AQ148,IF($F$6=30,0,IF($F$6=60,AQ148,0)))</f>
        <v>0</v>
      </c>
      <c r="AR83" s="331">
        <f>+IF($F$6=0,AR148,IF($F$6=30,AR148,0))</f>
        <v>0</v>
      </c>
      <c r="AS83" s="331">
        <f>+IF($F$6=0,AS148,0)</f>
        <v>0</v>
      </c>
      <c r="AT83" s="331">
        <f>+AT148</f>
        <v>0</v>
      </c>
      <c r="AU83" s="331">
        <f>+IF($F$6=0,AU148,0)</f>
        <v>0</v>
      </c>
      <c r="AV83" s="331">
        <f>+IF($F$6=0,AV148,IF($F$6=30,AV148,0))</f>
        <v>0</v>
      </c>
      <c r="AW83" s="331">
        <f>+IF($F$6=0,AW148,IF($F$6=30,0,IF($F$6=60,AW148,0)))</f>
        <v>0</v>
      </c>
      <c r="AX83" s="331">
        <f>+IF($F$6=0,AX148,IF($F$6=30,AX148,0))</f>
        <v>0</v>
      </c>
      <c r="AY83" s="331">
        <f>+IF($F$6=0,AY148,0)</f>
        <v>0</v>
      </c>
      <c r="AZ83" s="331">
        <f>+AZ148</f>
        <v>0</v>
      </c>
      <c r="BA83" s="331">
        <f>+IF($F$6=0,BA148,0)</f>
        <v>0</v>
      </c>
      <c r="BB83" s="331">
        <f>+IF($F$6=0,BB148,IF($F$6=30,BB148,0))</f>
        <v>0</v>
      </c>
      <c r="BC83" s="331">
        <f>+IF($F$6=0,BC148,IF($F$6=30,0,IF($F$6=60,BC148,0)))</f>
        <v>0</v>
      </c>
      <c r="BD83" s="331">
        <f>+IF($F$6=0,BD148,IF($F$6=30,BD148,0))</f>
        <v>0</v>
      </c>
      <c r="BE83" s="331">
        <f>+IF($F$6=0,BE148,0)</f>
        <v>0</v>
      </c>
      <c r="BF83" s="331">
        <f>+BF148</f>
        <v>0</v>
      </c>
      <c r="BG83" s="331">
        <f>+IF($F$6=0,BG148,0)</f>
        <v>0</v>
      </c>
      <c r="BH83" s="331">
        <f>+IF($F$6=0,BH148,IF($F$6=30,BH148,0))</f>
        <v>0</v>
      </c>
      <c r="BI83" s="331">
        <f>+IF($F$6=0,BI148,IF($F$6=30,0,IF($F$6=60,BI148,0)))</f>
        <v>0</v>
      </c>
      <c r="BJ83" s="331">
        <f>+IF($F$6=0,BJ148,IF($F$6=30,BJ148,0))</f>
        <v>0</v>
      </c>
      <c r="BK83" s="331">
        <f>+IF($F$6=0,BK148,0)</f>
        <v>0</v>
      </c>
      <c r="BL83" s="331">
        <f>+BL148</f>
        <v>0</v>
      </c>
      <c r="BM83" s="331">
        <f>+IF($F$6=0,BM148,0)</f>
        <v>0</v>
      </c>
      <c r="BN83" s="331"/>
      <c r="BO83" s="331"/>
      <c r="BP83" s="331"/>
      <c r="BQ83" s="331"/>
    </row>
    <row r="84" spans="5:70" ht="15.75">
      <c r="E84" s="416">
        <f t="shared" si="26"/>
        <v>43621</v>
      </c>
      <c r="F84" s="331"/>
      <c r="G84" s="331"/>
      <c r="H84" s="331"/>
      <c r="I84" s="331"/>
      <c r="J84" s="331"/>
      <c r="K84" s="331">
        <f>+K149</f>
        <v>0</v>
      </c>
      <c r="L84" s="331">
        <f>+IF($F$6=0,L149,0)</f>
        <v>0</v>
      </c>
      <c r="M84" s="331">
        <f>+IF($F$6=0,M149,IF($F$6=30,M149,0))</f>
        <v>0</v>
      </c>
      <c r="N84" s="331">
        <f>+IF($F$6=0,N149,IF($F$6=30,0,IF($F$6=60,N149,0)))</f>
        <v>0</v>
      </c>
      <c r="O84" s="331">
        <f>+IF($F$6=0,O149,IF($F$6=30,O149,0))</f>
        <v>0</v>
      </c>
      <c r="P84" s="331">
        <f>+IF($F$6=0,P149,0)</f>
        <v>0</v>
      </c>
      <c r="Q84" s="331">
        <f>+Q149</f>
        <v>0</v>
      </c>
      <c r="R84" s="331">
        <f>+IF($F$6=0,R149,0)</f>
        <v>0</v>
      </c>
      <c r="S84" s="331">
        <f>+IF($F$6=0,S149,IF($F$6=30,S149,0))</f>
        <v>0</v>
      </c>
      <c r="T84" s="331">
        <f>+IF($F$6=0,T149,IF($F$6=30,0,IF($F$6=60,T149,0)))</f>
        <v>0</v>
      </c>
      <c r="U84" s="331">
        <f>+IF($F$6=0,U149,IF($F$6=30,U149,0))</f>
        <v>0</v>
      </c>
      <c r="V84" s="331">
        <f>+IF($F$6=0,V149,0)</f>
        <v>0</v>
      </c>
      <c r="W84" s="331">
        <f>+W149</f>
        <v>0</v>
      </c>
      <c r="X84" s="331">
        <f>+IF($F$6=0,X149,0)</f>
        <v>0</v>
      </c>
      <c r="Y84" s="331">
        <f>+IF($F$6=0,Y149,IF($F$6=30,Y149,0))</f>
        <v>0</v>
      </c>
      <c r="Z84" s="331">
        <f>+IF($F$6=0,Z149,IF($F$6=30,0,IF($F$6=60,Z149,0)))</f>
        <v>0</v>
      </c>
      <c r="AA84" s="331">
        <f>+IF($F$6=0,AA149,IF($F$6=30,AA149,0))</f>
        <v>0</v>
      </c>
      <c r="AB84" s="331">
        <f>+IF($F$6=0,AB149,0)</f>
        <v>0</v>
      </c>
      <c r="AC84" s="331">
        <f>+AC149</f>
        <v>0</v>
      </c>
      <c r="AD84" s="331">
        <f>+IF($F$6=0,AD149,0)</f>
        <v>0</v>
      </c>
      <c r="AE84" s="331">
        <f>+IF($F$6=0,AE149,IF($F$6=30,AE149,0))</f>
        <v>0</v>
      </c>
      <c r="AF84" s="331">
        <f>+IF($F$6=0,AF149,IF($F$6=30,0,IF($F$6=60,AF149,0)))</f>
        <v>0</v>
      </c>
      <c r="AG84" s="331">
        <f>+IF($F$6=0,AG149,IF($F$6=30,AG149,0))</f>
        <v>0</v>
      </c>
      <c r="AH84" s="331">
        <f>+IF($F$6=0,AH149,0)</f>
        <v>0</v>
      </c>
      <c r="AI84" s="331">
        <f>+AI149</f>
        <v>0</v>
      </c>
      <c r="AJ84" s="331">
        <f>+IF($F$6=0,AJ149,0)</f>
        <v>0</v>
      </c>
      <c r="AK84" s="331">
        <f>+IF($F$6=0,AK149,IF($F$6=30,AK149,0))</f>
        <v>0</v>
      </c>
      <c r="AL84" s="331">
        <f>+IF($F$6=0,AL149,IF($F$6=30,0,IF($F$6=60,AL149,0)))</f>
        <v>0</v>
      </c>
      <c r="AM84" s="331">
        <f>+IF($F$6=0,AM149,IF($F$6=30,AM149,0))</f>
        <v>0</v>
      </c>
      <c r="AN84" s="331">
        <f>+IF($F$6=0,AN149,0)</f>
        <v>0</v>
      </c>
      <c r="AO84" s="331">
        <f>+AO149</f>
        <v>0</v>
      </c>
      <c r="AP84" s="331">
        <f>+IF($F$6=0,AP149,0)</f>
        <v>0</v>
      </c>
      <c r="AQ84" s="331">
        <f>+IF($F$6=0,AQ149,IF($F$6=30,AQ149,0))</f>
        <v>0</v>
      </c>
      <c r="AR84" s="331">
        <f>+IF($F$6=0,AR149,IF($F$6=30,0,IF($F$6=60,AR149,0)))</f>
        <v>0</v>
      </c>
      <c r="AS84" s="331">
        <f>+IF($F$6=0,AS149,IF($F$6=30,AS149,0))</f>
        <v>0</v>
      </c>
      <c r="AT84" s="331">
        <f>+IF($F$6=0,AT149,0)</f>
        <v>0</v>
      </c>
      <c r="AU84" s="331">
        <f>+AU149</f>
        <v>0</v>
      </c>
      <c r="AV84" s="331">
        <f>+IF($F$6=0,AV149,0)</f>
        <v>0</v>
      </c>
      <c r="AW84" s="331">
        <f>+IF($F$6=0,AW149,IF($F$6=30,AW149,0))</f>
        <v>0</v>
      </c>
      <c r="AX84" s="331">
        <f>+IF($F$6=0,AX149,IF($F$6=30,0,IF($F$6=60,AX149,0)))</f>
        <v>0</v>
      </c>
      <c r="AY84" s="331">
        <f>+IF($F$6=0,AY149,IF($F$6=30,AY149,0))</f>
        <v>0</v>
      </c>
      <c r="AZ84" s="331">
        <f>+IF($F$6=0,AZ149,0)</f>
        <v>0</v>
      </c>
      <c r="BA84" s="331">
        <f>+BA149</f>
        <v>0</v>
      </c>
      <c r="BB84" s="331">
        <f>+IF($F$6=0,BB149,0)</f>
        <v>0</v>
      </c>
      <c r="BC84" s="331">
        <f>+IF($F$6=0,BC149,IF($F$6=30,BC149,0))</f>
        <v>0</v>
      </c>
      <c r="BD84" s="331">
        <f>+IF($F$6=0,BD149,IF($F$6=30,0,IF($F$6=60,BD149,0)))</f>
        <v>0</v>
      </c>
      <c r="BE84" s="331">
        <f>+IF($F$6=0,BE149,IF($F$6=30,BE149,0))</f>
        <v>0</v>
      </c>
      <c r="BF84" s="331">
        <f>+IF($F$6=0,BF149,0)</f>
        <v>0</v>
      </c>
      <c r="BG84" s="331">
        <f>+BG149</f>
        <v>0</v>
      </c>
      <c r="BH84" s="331">
        <f>+IF($F$6=0,BH149,0)</f>
        <v>0</v>
      </c>
      <c r="BI84" s="331">
        <f>+IF($F$6=0,BI149,IF($F$6=30,BI149,0))</f>
        <v>0</v>
      </c>
      <c r="BJ84" s="331">
        <f>+IF($F$6=0,BJ149,IF($F$6=30,0,IF($F$6=60,BJ149,0)))</f>
        <v>0</v>
      </c>
      <c r="BK84" s="331">
        <f>+IF($F$6=0,BK149,IF($F$6=30,BK149,0))</f>
        <v>0</v>
      </c>
      <c r="BL84" s="331">
        <f>+IF($F$6=0,BL149,0)</f>
        <v>0</v>
      </c>
      <c r="BM84" s="331">
        <f>+BM149</f>
        <v>0</v>
      </c>
      <c r="BN84" s="331"/>
      <c r="BO84" s="331"/>
      <c r="BP84" s="331"/>
      <c r="BQ84" s="331"/>
      <c r="BR84" s="331"/>
    </row>
    <row r="85" spans="5:71" ht="15.75">
      <c r="E85" s="416">
        <f t="shared" si="26"/>
        <v>43652</v>
      </c>
      <c r="F85" s="331"/>
      <c r="G85" s="331"/>
      <c r="H85" s="331"/>
      <c r="I85" s="331"/>
      <c r="J85" s="331"/>
      <c r="K85" s="331"/>
      <c r="L85" s="331">
        <f>+L150</f>
        <v>0</v>
      </c>
      <c r="M85" s="331">
        <f>+IF($F$6=0,M150,0)</f>
        <v>0</v>
      </c>
      <c r="N85" s="331">
        <f>+IF($F$6=0,N150,IF($F$6=30,N150,0))</f>
        <v>0</v>
      </c>
      <c r="O85" s="331">
        <f>+IF($F$6=0,O150,IF($F$6=30,0,IF($F$6=60,O150,0)))</f>
        <v>0</v>
      </c>
      <c r="P85" s="331">
        <f>+IF($F$6=0,P150,IF($F$6=30,P150,0))</f>
        <v>0</v>
      </c>
      <c r="Q85" s="331">
        <f>+IF($F$6=0,Q150,0)</f>
        <v>0</v>
      </c>
      <c r="R85" s="331">
        <f>+R150</f>
        <v>0</v>
      </c>
      <c r="S85" s="331">
        <f>+IF($F$6=0,S150,0)</f>
        <v>0</v>
      </c>
      <c r="T85" s="331">
        <f>+IF($F$6=0,T150,IF($F$6=30,T150,0))</f>
        <v>0</v>
      </c>
      <c r="U85" s="331">
        <f>+IF($F$6=0,U150,IF($F$6=30,0,IF($F$6=60,U150,0)))</f>
        <v>0</v>
      </c>
      <c r="V85" s="331">
        <f>+IF($F$6=0,V150,IF($F$6=30,V150,0))</f>
        <v>0</v>
      </c>
      <c r="W85" s="331">
        <f>+IF($F$6=0,W150,0)</f>
        <v>0</v>
      </c>
      <c r="X85" s="331">
        <f>+X150</f>
        <v>0</v>
      </c>
      <c r="Y85" s="331">
        <f>+IF($F$6=0,Y150,0)</f>
        <v>0</v>
      </c>
      <c r="Z85" s="331">
        <f>+IF($F$6=0,Z150,IF($F$6=30,Z150,0))</f>
        <v>0</v>
      </c>
      <c r="AA85" s="331">
        <f>+IF($F$6=0,AA150,IF($F$6=30,0,IF($F$6=60,AA150,0)))</f>
        <v>0</v>
      </c>
      <c r="AB85" s="331">
        <f>+IF($F$6=0,AB150,IF($F$6=30,AB150,0))</f>
        <v>0</v>
      </c>
      <c r="AC85" s="331">
        <f>+IF($F$6=0,AC150,0)</f>
        <v>0</v>
      </c>
      <c r="AD85" s="331">
        <f>+AD150</f>
        <v>0</v>
      </c>
      <c r="AE85" s="331">
        <f>+IF($F$6=0,AE150,0)</f>
        <v>0</v>
      </c>
      <c r="AF85" s="331">
        <f>+IF($F$6=0,AF150,IF($F$6=30,AF150,0))</f>
        <v>0</v>
      </c>
      <c r="AG85" s="331">
        <f>+IF($F$6=0,AG150,IF($F$6=30,0,IF($F$6=60,AG150,0)))</f>
        <v>0</v>
      </c>
      <c r="AH85" s="331">
        <f>+IF($F$6=0,AH150,IF($F$6=30,AH150,0))</f>
        <v>0</v>
      </c>
      <c r="AI85" s="331">
        <f>+IF($F$6=0,AI150,0)</f>
        <v>0</v>
      </c>
      <c r="AJ85" s="331">
        <f>+AJ150</f>
        <v>0</v>
      </c>
      <c r="AK85" s="331">
        <f>+IF($F$6=0,AK150,0)</f>
        <v>0</v>
      </c>
      <c r="AL85" s="331">
        <f>+IF($F$6=0,AL150,IF($F$6=30,AL150,0))</f>
        <v>0</v>
      </c>
      <c r="AM85" s="331">
        <f>+IF($F$6=0,AM150,IF($F$6=30,0,IF($F$6=60,AM150,0)))</f>
        <v>0</v>
      </c>
      <c r="AN85" s="331">
        <f>+IF($F$6=0,AN150,IF($F$6=30,AN150,0))</f>
        <v>0</v>
      </c>
      <c r="AO85" s="331">
        <f>+IF($F$6=0,AO150,0)</f>
        <v>0</v>
      </c>
      <c r="AP85" s="331">
        <f>+AP150</f>
        <v>0</v>
      </c>
      <c r="AQ85" s="331">
        <f>+IF($F$6=0,AQ150,0)</f>
        <v>0</v>
      </c>
      <c r="AR85" s="331">
        <f>+IF($F$6=0,AR150,IF($F$6=30,AR150,0))</f>
        <v>0</v>
      </c>
      <c r="AS85" s="331">
        <f>+IF($F$6=0,AS150,IF($F$6=30,0,IF($F$6=60,AS150,0)))</f>
        <v>0</v>
      </c>
      <c r="AT85" s="331">
        <f>+IF($F$6=0,AT150,IF($F$6=30,AT150,0))</f>
        <v>0</v>
      </c>
      <c r="AU85" s="331">
        <f>+IF($F$6=0,AU150,0)</f>
        <v>0</v>
      </c>
      <c r="AV85" s="331">
        <f>+AV150</f>
        <v>0</v>
      </c>
      <c r="AW85" s="331">
        <f>+IF($F$6=0,AW150,0)</f>
        <v>0</v>
      </c>
      <c r="AX85" s="331">
        <f>+IF($F$6=0,AX150,IF($F$6=30,AX150,0))</f>
        <v>0</v>
      </c>
      <c r="AY85" s="331">
        <f>+IF($F$6=0,AY150,IF($F$6=30,0,IF($F$6=60,AY150,0)))</f>
        <v>0</v>
      </c>
      <c r="AZ85" s="331">
        <f>+IF($F$6=0,AZ150,IF($F$6=30,AZ150,0))</f>
        <v>0</v>
      </c>
      <c r="BA85" s="331">
        <f>+IF($F$6=0,BA150,0)</f>
        <v>0</v>
      </c>
      <c r="BB85" s="331">
        <f>+BB150</f>
        <v>0</v>
      </c>
      <c r="BC85" s="331">
        <f>+IF($F$6=0,BC150,0)</f>
        <v>0</v>
      </c>
      <c r="BD85" s="331">
        <f>+IF($F$6=0,BD150,IF($F$6=30,BD150,0))</f>
        <v>0</v>
      </c>
      <c r="BE85" s="331">
        <f>+IF($F$6=0,BE150,IF($F$6=30,0,IF($F$6=60,BE150,0)))</f>
        <v>0</v>
      </c>
      <c r="BF85" s="331">
        <f>+IF($F$6=0,BF150,IF($F$6=30,BF150,0))</f>
        <v>0</v>
      </c>
      <c r="BG85" s="331">
        <f>+IF($F$6=0,BG150,0)</f>
        <v>0</v>
      </c>
      <c r="BH85" s="331">
        <f>+BH150</f>
        <v>0</v>
      </c>
      <c r="BI85" s="331">
        <f>+IF($F$6=0,BI150,0)</f>
        <v>0</v>
      </c>
      <c r="BJ85" s="331">
        <f>+IF($F$6=0,BJ150,IF($F$6=30,BJ150,0))</f>
        <v>0</v>
      </c>
      <c r="BK85" s="331">
        <f>+IF($F$6=0,BK150,IF($F$6=30,0,IF($F$6=60,BK150,0)))</f>
        <v>0</v>
      </c>
      <c r="BL85" s="331">
        <f>+IF($F$6=0,BL150,IF($F$6=30,BL150,0))</f>
        <v>0</v>
      </c>
      <c r="BM85" s="331">
        <f>+IF($F$6=0,BM150,0)</f>
        <v>0</v>
      </c>
      <c r="BN85" s="331"/>
      <c r="BO85" s="331"/>
      <c r="BP85" s="331"/>
      <c r="BQ85" s="331"/>
      <c r="BR85" s="331"/>
      <c r="BS85" s="331"/>
    </row>
    <row r="86" spans="5:72" ht="15.75">
      <c r="E86" s="416">
        <f t="shared" si="26"/>
        <v>43683</v>
      </c>
      <c r="F86" s="331"/>
      <c r="G86" s="331"/>
      <c r="H86" s="331"/>
      <c r="I86" s="331"/>
      <c r="J86" s="331"/>
      <c r="K86" s="331"/>
      <c r="L86" s="331"/>
      <c r="M86" s="331">
        <f>+M151</f>
        <v>0</v>
      </c>
      <c r="N86" s="331">
        <f>+IF($F$6=0,N151,0)</f>
        <v>0</v>
      </c>
      <c r="O86" s="331">
        <f>+IF($F$6=0,O151,IF($F$6=30,O151,0))</f>
        <v>0</v>
      </c>
      <c r="P86" s="331">
        <f>+IF($F$6=0,P151,IF($F$6=30,0,IF($F$6=60,P151,0)))</f>
        <v>0</v>
      </c>
      <c r="Q86" s="331">
        <f>+IF($F$6=0,Q151,IF($F$6=30,Q151,0))</f>
        <v>0</v>
      </c>
      <c r="R86" s="331">
        <f>+IF($F$6=0,R151,0)</f>
        <v>0</v>
      </c>
      <c r="S86" s="331">
        <f>+S151</f>
        <v>0</v>
      </c>
      <c r="T86" s="331">
        <f>+IF($F$6=0,T151,0)</f>
        <v>0</v>
      </c>
      <c r="U86" s="331">
        <f>+IF($F$6=0,U151,IF($F$6=30,U151,0))</f>
        <v>0</v>
      </c>
      <c r="V86" s="331">
        <f>+IF($F$6=0,V151,IF($F$6=30,0,IF($F$6=60,V151,0)))</f>
        <v>0</v>
      </c>
      <c r="W86" s="331">
        <f>+IF($F$6=0,W151,IF($F$6=30,W151,0))</f>
        <v>0</v>
      </c>
      <c r="X86" s="331">
        <f>+IF($F$6=0,X151,0)</f>
        <v>0</v>
      </c>
      <c r="Y86" s="331">
        <f>+Y151</f>
        <v>0</v>
      </c>
      <c r="Z86" s="331">
        <f>+IF($F$6=0,Z151,0)</f>
        <v>0</v>
      </c>
      <c r="AA86" s="331">
        <f>+IF($F$6=0,AA151,IF($F$6=30,AA151,0))</f>
        <v>0</v>
      </c>
      <c r="AB86" s="331">
        <f>+IF($F$6=0,AB151,IF($F$6=30,0,IF($F$6=60,AB151,0)))</f>
        <v>0</v>
      </c>
      <c r="AC86" s="331">
        <f>+IF($F$6=0,AC151,IF($F$6=30,AC151,0))</f>
        <v>0</v>
      </c>
      <c r="AD86" s="331">
        <f>+IF($F$6=0,AD151,0)</f>
        <v>0</v>
      </c>
      <c r="AE86" s="331">
        <f>+AE151</f>
        <v>0</v>
      </c>
      <c r="AF86" s="331">
        <f>+IF($F$6=0,AF151,0)</f>
        <v>0</v>
      </c>
      <c r="AG86" s="331">
        <f>+IF($F$6=0,AG151,IF($F$6=30,AG151,0))</f>
        <v>0</v>
      </c>
      <c r="AH86" s="331">
        <f>+IF($F$6=0,AH151,IF($F$6=30,0,IF($F$6=60,AH151,0)))</f>
        <v>0</v>
      </c>
      <c r="AI86" s="331">
        <f>+IF($F$6=0,AI151,IF($F$6=30,AI151,0))</f>
        <v>0</v>
      </c>
      <c r="AJ86" s="331">
        <f>+IF($F$6=0,AJ151,0)</f>
        <v>0</v>
      </c>
      <c r="AK86" s="331">
        <f>+AK151</f>
        <v>0</v>
      </c>
      <c r="AL86" s="331">
        <f>+IF($F$6=0,AL151,0)</f>
        <v>0</v>
      </c>
      <c r="AM86" s="331">
        <f>+IF($F$6=0,AM151,IF($F$6=30,AM151,0))</f>
        <v>0</v>
      </c>
      <c r="AN86" s="331">
        <f>+IF($F$6=0,AN151,IF($F$6=30,0,IF($F$6=60,AN151,0)))</f>
        <v>0</v>
      </c>
      <c r="AO86" s="331">
        <f>+IF($F$6=0,AO151,IF($F$6=30,AO151,0))</f>
        <v>0</v>
      </c>
      <c r="AP86" s="331">
        <f>+IF($F$6=0,AP151,0)</f>
        <v>0</v>
      </c>
      <c r="AQ86" s="331">
        <f>+AQ151</f>
        <v>0</v>
      </c>
      <c r="AR86" s="331">
        <f>+IF($F$6=0,AR151,0)</f>
        <v>0</v>
      </c>
      <c r="AS86" s="331">
        <f>+IF($F$6=0,AS151,IF($F$6=30,AS151,0))</f>
        <v>0</v>
      </c>
      <c r="AT86" s="331">
        <f>+IF($F$6=0,AT151,IF($F$6=30,0,IF($F$6=60,AT151,0)))</f>
        <v>0</v>
      </c>
      <c r="AU86" s="331">
        <f>+IF($F$6=0,AU151,IF($F$6=30,AU151,0))</f>
        <v>0</v>
      </c>
      <c r="AV86" s="331">
        <f>+IF($F$6=0,AV151,0)</f>
        <v>0</v>
      </c>
      <c r="AW86" s="331">
        <f>+AW151</f>
        <v>0</v>
      </c>
      <c r="AX86" s="331">
        <f>+IF($F$6=0,AX151,0)</f>
        <v>0</v>
      </c>
      <c r="AY86" s="331">
        <f>+IF($F$6=0,AY151,IF($F$6=30,AY151,0))</f>
        <v>0</v>
      </c>
      <c r="AZ86" s="331">
        <f>+IF($F$6=0,AZ151,IF($F$6=30,0,IF($F$6=60,AZ151,0)))</f>
        <v>0</v>
      </c>
      <c r="BA86" s="331">
        <f>+IF($F$6=0,BA151,IF($F$6=30,BA151,0))</f>
        <v>0</v>
      </c>
      <c r="BB86" s="331">
        <f>+IF($F$6=0,BB151,0)</f>
        <v>0</v>
      </c>
      <c r="BC86" s="331">
        <f>+BC151</f>
        <v>0</v>
      </c>
      <c r="BD86" s="331">
        <f>+IF($F$6=0,BD151,0)</f>
        <v>0</v>
      </c>
      <c r="BE86" s="331">
        <f>+IF($F$6=0,BE151,IF($F$6=30,BE151,0))</f>
        <v>0</v>
      </c>
      <c r="BF86" s="331">
        <f>+IF($F$6=0,BF151,IF($F$6=30,0,IF($F$6=60,BF151,0)))</f>
        <v>0</v>
      </c>
      <c r="BG86" s="331">
        <f>+IF($F$6=0,BG151,IF($F$6=30,BG151,0))</f>
        <v>0</v>
      </c>
      <c r="BH86" s="331">
        <f>+IF($F$6=0,BH151,0)</f>
        <v>0</v>
      </c>
      <c r="BI86" s="331">
        <f>+BI151</f>
        <v>0</v>
      </c>
      <c r="BJ86" s="331">
        <f>+IF($F$6=0,BJ151,0)</f>
        <v>0</v>
      </c>
      <c r="BK86" s="331">
        <f>+IF($F$6=0,BK151,IF($F$6=30,BK151,0))</f>
        <v>0</v>
      </c>
      <c r="BL86" s="331">
        <f>+IF($F$6=0,BL151,IF($F$6=30,0,IF($F$6=60,BL151,0)))</f>
        <v>0</v>
      </c>
      <c r="BM86" s="331">
        <f>+IF($F$6=0,BM151,IF($F$6=30,BM151,0))</f>
        <v>0</v>
      </c>
      <c r="BN86" s="331"/>
      <c r="BO86" s="331"/>
      <c r="BP86" s="331"/>
      <c r="BQ86" s="331"/>
      <c r="BR86" s="331"/>
      <c r="BS86" s="331"/>
      <c r="BT86" s="331"/>
    </row>
    <row r="87" spans="5:73" ht="15.75">
      <c r="E87" s="416">
        <f t="shared" si="26"/>
        <v>43714</v>
      </c>
      <c r="F87" s="331"/>
      <c r="G87" s="331"/>
      <c r="H87" s="331"/>
      <c r="I87" s="331"/>
      <c r="J87" s="331"/>
      <c r="K87" s="331"/>
      <c r="L87" s="331"/>
      <c r="M87" s="331"/>
      <c r="N87" s="331">
        <f>+N152</f>
        <v>0</v>
      </c>
      <c r="O87" s="331">
        <f>+IF($F$6=0,O152,0)</f>
        <v>0</v>
      </c>
      <c r="P87" s="331">
        <f>+IF($F$6=0,P152,IF($F$6=30,P152,0))</f>
        <v>0</v>
      </c>
      <c r="Q87" s="331">
        <f>+IF($F$6=0,Q152,IF($F$6=30,0,IF($F$6=60,Q152,0)))</f>
        <v>0</v>
      </c>
      <c r="R87" s="331">
        <f>+IF($F$6=0,R152,IF($F$6=30,R152,0))</f>
        <v>0</v>
      </c>
      <c r="S87" s="331">
        <f>+IF($F$6=0,S152,0)</f>
        <v>0</v>
      </c>
      <c r="T87" s="331">
        <f>+T152</f>
        <v>0</v>
      </c>
      <c r="U87" s="331">
        <f>+IF($F$6=0,U152,0)</f>
        <v>0</v>
      </c>
      <c r="V87" s="331">
        <f>+IF($F$6=0,V152,IF($F$6=30,V152,0))</f>
        <v>0</v>
      </c>
      <c r="W87" s="331">
        <f>+IF($F$6=0,W152,IF($F$6=30,0,IF($F$6=60,W152,0)))</f>
        <v>0</v>
      </c>
      <c r="X87" s="331">
        <f>+IF($F$6=0,X152,IF($F$6=30,X152,0))</f>
        <v>0</v>
      </c>
      <c r="Y87" s="331">
        <f>+IF($F$6=0,Y152,0)</f>
        <v>0</v>
      </c>
      <c r="Z87" s="331">
        <f>+Z152</f>
        <v>0</v>
      </c>
      <c r="AA87" s="331">
        <f>+IF($F$6=0,AA152,0)</f>
        <v>0</v>
      </c>
      <c r="AB87" s="331">
        <f>+IF($F$6=0,AB152,IF($F$6=30,AB152,0))</f>
        <v>0</v>
      </c>
      <c r="AC87" s="331">
        <f>+IF($F$6=0,AC152,IF($F$6=30,0,IF($F$6=60,AC152,0)))</f>
        <v>0</v>
      </c>
      <c r="AD87" s="331">
        <f>+IF($F$6=0,AD152,IF($F$6=30,AD152,0))</f>
        <v>0</v>
      </c>
      <c r="AE87" s="331">
        <f>+IF($F$6=0,AE152,0)</f>
        <v>0</v>
      </c>
      <c r="AF87" s="331">
        <f>+AF152</f>
        <v>0</v>
      </c>
      <c r="AG87" s="331">
        <f>+IF($F$6=0,AG152,0)</f>
        <v>0</v>
      </c>
      <c r="AH87" s="331">
        <f>+IF($F$6=0,AH152,IF($F$6=30,AH152,0))</f>
        <v>0</v>
      </c>
      <c r="AI87" s="331">
        <f>+IF($F$6=0,AI152,IF($F$6=30,0,IF($F$6=60,AI152,0)))</f>
        <v>0</v>
      </c>
      <c r="AJ87" s="331">
        <f>+IF($F$6=0,AJ152,IF($F$6=30,AJ152,0))</f>
        <v>0</v>
      </c>
      <c r="AK87" s="331">
        <f>+IF($F$6=0,AK152,0)</f>
        <v>0</v>
      </c>
      <c r="AL87" s="331">
        <f>+AL152</f>
        <v>0</v>
      </c>
      <c r="AM87" s="331">
        <f>+IF($F$6=0,AM152,0)</f>
        <v>0</v>
      </c>
      <c r="AN87" s="331">
        <f>+IF($F$6=0,AN152,IF($F$6=30,AN152,0))</f>
        <v>0</v>
      </c>
      <c r="AO87" s="331">
        <f>+IF($F$6=0,AO152,IF($F$6=30,0,IF($F$6=60,AO152,0)))</f>
        <v>0</v>
      </c>
      <c r="AP87" s="331">
        <f>+IF($F$6=0,AP152,IF($F$6=30,AP152,0))</f>
        <v>0</v>
      </c>
      <c r="AQ87" s="331">
        <f>+IF($F$6=0,AQ152,0)</f>
        <v>0</v>
      </c>
      <c r="AR87" s="331">
        <f>+AR152</f>
        <v>0</v>
      </c>
      <c r="AS87" s="331">
        <f>+IF($F$6=0,AS152,0)</f>
        <v>0</v>
      </c>
      <c r="AT87" s="331">
        <f>+IF($F$6=0,AT152,IF($F$6=30,AT152,0))</f>
        <v>0</v>
      </c>
      <c r="AU87" s="331">
        <f>+IF($F$6=0,AU152,IF($F$6=30,0,IF($F$6=60,AU152,0)))</f>
        <v>0</v>
      </c>
      <c r="AV87" s="331">
        <f>+IF($F$6=0,AV152,IF($F$6=30,AV152,0))</f>
        <v>0</v>
      </c>
      <c r="AW87" s="331">
        <f>+IF($F$6=0,AW152,0)</f>
        <v>0</v>
      </c>
      <c r="AX87" s="331">
        <f>+AX152</f>
        <v>0</v>
      </c>
      <c r="AY87" s="331">
        <f>+IF($F$6=0,AY152,0)</f>
        <v>0</v>
      </c>
      <c r="AZ87" s="331">
        <f>+IF($F$6=0,AZ152,IF($F$6=30,AZ152,0))</f>
        <v>0</v>
      </c>
      <c r="BA87" s="331">
        <f>+IF($F$6=0,BA152,IF($F$6=30,0,IF($F$6=60,BA152,0)))</f>
        <v>0</v>
      </c>
      <c r="BB87" s="331">
        <f>+IF($F$6=0,BB152,IF($F$6=30,BB152,0))</f>
        <v>0</v>
      </c>
      <c r="BC87" s="331">
        <f>+IF($F$6=0,BC152,0)</f>
        <v>0</v>
      </c>
      <c r="BD87" s="331">
        <f>+BD152</f>
        <v>0</v>
      </c>
      <c r="BE87" s="331">
        <f>+IF($F$6=0,BE152,0)</f>
        <v>0</v>
      </c>
      <c r="BF87" s="331">
        <f>+IF($F$6=0,BF152,IF($F$6=30,BF152,0))</f>
        <v>0</v>
      </c>
      <c r="BG87" s="331">
        <f>+IF($F$6=0,BG152,IF($F$6=30,0,IF($F$6=60,BG152,0)))</f>
        <v>0</v>
      </c>
      <c r="BH87" s="331">
        <f>+IF($F$6=0,BH152,IF($F$6=30,BH152,0))</f>
        <v>0</v>
      </c>
      <c r="BI87" s="331">
        <f>+IF($F$6=0,BI152,0)</f>
        <v>0</v>
      </c>
      <c r="BJ87" s="331">
        <f>+BJ152</f>
        <v>0</v>
      </c>
      <c r="BK87" s="331">
        <f>+IF($F$6=0,BK152,0)</f>
        <v>0</v>
      </c>
      <c r="BL87" s="331">
        <f>+IF($F$6=0,BL152,IF($F$6=30,BL152,0))</f>
        <v>0</v>
      </c>
      <c r="BM87" s="331">
        <f>+IF($F$6=0,BM152,IF($F$6=30,0,IF($F$6=60,BM152,0)))</f>
        <v>0</v>
      </c>
      <c r="BN87" s="331"/>
      <c r="BO87" s="331"/>
      <c r="BP87" s="331"/>
      <c r="BQ87" s="331"/>
      <c r="BR87" s="331"/>
      <c r="BS87" s="331"/>
      <c r="BT87" s="331"/>
      <c r="BU87" s="331"/>
    </row>
    <row r="88" spans="5:74" ht="15.75">
      <c r="E88" s="416">
        <f t="shared" si="26"/>
        <v>43745</v>
      </c>
      <c r="F88" s="331"/>
      <c r="G88" s="331"/>
      <c r="H88" s="331"/>
      <c r="I88" s="331"/>
      <c r="J88" s="331"/>
      <c r="K88" s="331"/>
      <c r="L88" s="331"/>
      <c r="M88" s="331"/>
      <c r="N88" s="331"/>
      <c r="O88" s="331">
        <f>+O153</f>
        <v>0</v>
      </c>
      <c r="P88" s="331">
        <f>+IF($F$6=0,P153,0)</f>
        <v>0</v>
      </c>
      <c r="Q88" s="331">
        <f>+IF($F$6=0,Q153,IF($F$6=30,Q153,0))</f>
        <v>0</v>
      </c>
      <c r="R88" s="331">
        <f>+IF($F$6=0,R153,IF($F$6=30,0,IF($F$6=60,R153,0)))</f>
        <v>0</v>
      </c>
      <c r="S88" s="331">
        <f>+IF($F$6=0,S153,IF($F$6=30,S153,0))</f>
        <v>0</v>
      </c>
      <c r="T88" s="331">
        <f>+IF($F$6=0,T153,0)</f>
        <v>0</v>
      </c>
      <c r="U88" s="331">
        <f>+U153</f>
        <v>0</v>
      </c>
      <c r="V88" s="331">
        <f>+IF($F$6=0,V153,0)</f>
        <v>0</v>
      </c>
      <c r="W88" s="331">
        <f>+IF($F$6=0,W153,IF($F$6=30,W153,0))</f>
        <v>0</v>
      </c>
      <c r="X88" s="331">
        <f>+IF($F$6=0,X153,IF($F$6=30,0,IF($F$6=60,X153,0)))</f>
        <v>0</v>
      </c>
      <c r="Y88" s="331">
        <f>+IF($F$6=0,Y153,IF($F$6=30,Y153,0))</f>
        <v>0</v>
      </c>
      <c r="Z88" s="331">
        <f>+IF($F$6=0,Z153,0)</f>
        <v>0</v>
      </c>
      <c r="AA88" s="331">
        <f>+AA153</f>
        <v>0</v>
      </c>
      <c r="AB88" s="331">
        <f>+IF($F$6=0,AB153,0)</f>
        <v>0</v>
      </c>
      <c r="AC88" s="331">
        <f>+IF($F$6=0,AC153,IF($F$6=30,AC153,0))</f>
        <v>0</v>
      </c>
      <c r="AD88" s="331">
        <f>+IF($F$6=0,AD153,IF($F$6=30,0,IF($F$6=60,AD153,0)))</f>
        <v>0</v>
      </c>
      <c r="AE88" s="331">
        <f>+IF($F$6=0,AE153,IF($F$6=30,AE153,0))</f>
        <v>0</v>
      </c>
      <c r="AF88" s="331">
        <f>+IF($F$6=0,AF153,0)</f>
        <v>0</v>
      </c>
      <c r="AG88" s="331">
        <f>+AG153</f>
        <v>0</v>
      </c>
      <c r="AH88" s="331">
        <f>+IF($F$6=0,AH153,0)</f>
        <v>0</v>
      </c>
      <c r="AI88" s="331">
        <f>+IF($F$6=0,AI153,IF($F$6=30,AI153,0))</f>
        <v>0</v>
      </c>
      <c r="AJ88" s="331">
        <f>+IF($F$6=0,AJ153,IF($F$6=30,0,IF($F$6=60,AJ153,0)))</f>
        <v>0</v>
      </c>
      <c r="AK88" s="331">
        <f>+IF($F$6=0,AK153,IF($F$6=30,AK153,0))</f>
        <v>0</v>
      </c>
      <c r="AL88" s="331">
        <f>+IF($F$6=0,AL153,0)</f>
        <v>0</v>
      </c>
      <c r="AM88" s="331">
        <f>+AM153</f>
        <v>0</v>
      </c>
      <c r="AN88" s="331">
        <f>+IF($F$6=0,AN153,0)</f>
        <v>0</v>
      </c>
      <c r="AO88" s="331">
        <f>+IF($F$6=0,AO153,IF($F$6=30,AO153,0))</f>
        <v>0</v>
      </c>
      <c r="AP88" s="331">
        <f>+IF($F$6=0,AP153,IF($F$6=30,0,IF($F$6=60,AP153,0)))</f>
        <v>0</v>
      </c>
      <c r="AQ88" s="331">
        <f>+IF($F$6=0,AQ153,IF($F$6=30,AQ153,0))</f>
        <v>0</v>
      </c>
      <c r="AR88" s="331">
        <f>+IF($F$6=0,AR153,0)</f>
        <v>0</v>
      </c>
      <c r="AS88" s="331">
        <f>+AS153</f>
        <v>0</v>
      </c>
      <c r="AT88" s="331">
        <f>+IF($F$6=0,AT153,0)</f>
        <v>0</v>
      </c>
      <c r="AU88" s="331">
        <f>+IF($F$6=0,AU153,IF($F$6=30,AU153,0))</f>
        <v>0</v>
      </c>
      <c r="AV88" s="331">
        <f>+IF($F$6=0,AV153,IF($F$6=30,0,IF($F$6=60,AV153,0)))</f>
        <v>0</v>
      </c>
      <c r="AW88" s="331">
        <f>+IF($F$6=0,AW153,IF($F$6=30,AW153,0))</f>
        <v>0</v>
      </c>
      <c r="AX88" s="331">
        <f>+IF($F$6=0,AX153,0)</f>
        <v>0</v>
      </c>
      <c r="AY88" s="331">
        <f>+AY153</f>
        <v>0</v>
      </c>
      <c r="AZ88" s="331">
        <f>+IF($F$6=0,AZ153,0)</f>
        <v>0</v>
      </c>
      <c r="BA88" s="331">
        <f>+IF($F$6=0,BA153,IF($F$6=30,BA153,0))</f>
        <v>0</v>
      </c>
      <c r="BB88" s="331">
        <f>+IF($F$6=0,BB153,IF($F$6=30,0,IF($F$6=60,BB153,0)))</f>
        <v>0</v>
      </c>
      <c r="BC88" s="331">
        <f>+IF($F$6=0,BC153,IF($F$6=30,BC153,0))</f>
        <v>0</v>
      </c>
      <c r="BD88" s="331">
        <f>+IF($F$6=0,BD153,0)</f>
        <v>0</v>
      </c>
      <c r="BE88" s="331">
        <f>+BE153</f>
        <v>0</v>
      </c>
      <c r="BF88" s="331">
        <f>+IF($F$6=0,BF153,0)</f>
        <v>0</v>
      </c>
      <c r="BG88" s="331">
        <f>+IF($F$6=0,BG153,IF($F$6=30,BG153,0))</f>
        <v>0</v>
      </c>
      <c r="BH88" s="331">
        <f>+IF($F$6=0,BH153,IF($F$6=30,0,IF($F$6=60,BH153,0)))</f>
        <v>0</v>
      </c>
      <c r="BI88" s="331">
        <f>+IF($F$6=0,BI153,IF($F$6=30,BI153,0))</f>
        <v>0</v>
      </c>
      <c r="BJ88" s="331">
        <f>+IF($F$6=0,BJ153,0)</f>
        <v>0</v>
      </c>
      <c r="BK88" s="331">
        <f>+BK153</f>
        <v>0</v>
      </c>
      <c r="BL88" s="331">
        <f>+IF($F$6=0,BL153,0)</f>
        <v>0</v>
      </c>
      <c r="BM88" s="331">
        <f>+IF($F$6=0,BM153,IF($F$6=30,BM153,0))</f>
        <v>0</v>
      </c>
      <c r="BN88" s="331"/>
      <c r="BO88" s="331"/>
      <c r="BP88" s="331"/>
      <c r="BQ88" s="331"/>
      <c r="BR88" s="331"/>
      <c r="BS88" s="331"/>
      <c r="BT88" s="331"/>
      <c r="BU88" s="331"/>
      <c r="BV88" s="331"/>
    </row>
    <row r="89" spans="5:75" ht="15.75">
      <c r="E89" s="416">
        <f t="shared" si="26"/>
        <v>43776</v>
      </c>
      <c r="F89" s="331"/>
      <c r="G89" s="331"/>
      <c r="H89" s="331"/>
      <c r="I89" s="331"/>
      <c r="J89" s="331"/>
      <c r="K89" s="331"/>
      <c r="L89" s="331"/>
      <c r="M89" s="331"/>
      <c r="N89" s="331"/>
      <c r="O89" s="331"/>
      <c r="P89" s="331">
        <f>+P154</f>
        <v>0</v>
      </c>
      <c r="Q89" s="331">
        <f>+IF($F$6=0,Q154,0)</f>
        <v>0</v>
      </c>
      <c r="R89" s="331">
        <f>+IF($F$6=0,R154,IF($F$6=30,R154,0))</f>
        <v>0</v>
      </c>
      <c r="S89" s="331">
        <f>+IF($F$6=0,S154,IF($F$6=30,0,IF($F$6=60,S154,0)))</f>
        <v>0</v>
      </c>
      <c r="T89" s="331">
        <f>+IF($F$6=0,T154,IF($F$6=30,T154,0))</f>
        <v>0</v>
      </c>
      <c r="U89" s="331">
        <f>+IF($F$6=0,U154,0)</f>
        <v>0</v>
      </c>
      <c r="V89" s="331">
        <f>+V154</f>
        <v>0</v>
      </c>
      <c r="W89" s="331">
        <f>+IF($F$6=0,W154,0)</f>
        <v>0</v>
      </c>
      <c r="X89" s="331">
        <f>+IF($F$6=0,X154,IF($F$6=30,X154,0))</f>
        <v>0</v>
      </c>
      <c r="Y89" s="331">
        <f>+IF($F$6=0,Y154,IF($F$6=30,0,IF($F$6=60,Y154,0)))</f>
        <v>0</v>
      </c>
      <c r="Z89" s="331">
        <f>+IF($F$6=0,Z154,IF($F$6=30,Z154,0))</f>
        <v>0</v>
      </c>
      <c r="AA89" s="331">
        <f>+IF($F$6=0,AA154,0)</f>
        <v>0</v>
      </c>
      <c r="AB89" s="331">
        <f>+AB154</f>
        <v>0</v>
      </c>
      <c r="AC89" s="331">
        <f>+IF($F$6=0,AC154,0)</f>
        <v>0</v>
      </c>
      <c r="AD89" s="331">
        <f>+IF($F$6=0,AD154,IF($F$6=30,AD154,0))</f>
        <v>0</v>
      </c>
      <c r="AE89" s="331">
        <f>+IF($F$6=0,AE154,IF($F$6=30,0,IF($F$6=60,AE154,0)))</f>
        <v>0</v>
      </c>
      <c r="AF89" s="331">
        <f>+IF($F$6=0,AF154,IF($F$6=30,AF154,0))</f>
        <v>0</v>
      </c>
      <c r="AG89" s="331">
        <f>+IF($F$6=0,AG154,0)</f>
        <v>0</v>
      </c>
      <c r="AH89" s="331">
        <f>+AH154</f>
        <v>0</v>
      </c>
      <c r="AI89" s="331">
        <f>+IF($F$6=0,AI154,0)</f>
        <v>0</v>
      </c>
      <c r="AJ89" s="331">
        <f>+IF($F$6=0,AJ154,IF($F$6=30,AJ154,0))</f>
        <v>0</v>
      </c>
      <c r="AK89" s="331">
        <f>+IF($F$6=0,AK154,IF($F$6=30,0,IF($F$6=60,AK154,0)))</f>
        <v>0</v>
      </c>
      <c r="AL89" s="331">
        <f>+IF($F$6=0,AL154,IF($F$6=30,AL154,0))</f>
        <v>0</v>
      </c>
      <c r="AM89" s="331">
        <f>+IF($F$6=0,AM154,0)</f>
        <v>0</v>
      </c>
      <c r="AN89" s="331">
        <f>+AN154</f>
        <v>0</v>
      </c>
      <c r="AO89" s="331">
        <f>+IF($F$6=0,AO154,0)</f>
        <v>0</v>
      </c>
      <c r="AP89" s="331">
        <f>+IF($F$6=0,AP154,IF($F$6=30,AP154,0))</f>
        <v>0</v>
      </c>
      <c r="AQ89" s="331">
        <f>+IF($F$6=0,AQ154,IF($F$6=30,0,IF($F$6=60,AQ154,0)))</f>
        <v>0</v>
      </c>
      <c r="AR89" s="331">
        <f>+IF($F$6=0,AR154,IF($F$6=30,AR154,0))</f>
        <v>0</v>
      </c>
      <c r="AS89" s="331">
        <f>+IF($F$6=0,AS154,0)</f>
        <v>0</v>
      </c>
      <c r="AT89" s="331">
        <f>+AT154</f>
        <v>0</v>
      </c>
      <c r="AU89" s="331">
        <f>+IF($F$6=0,AU154,0)</f>
        <v>0</v>
      </c>
      <c r="AV89" s="331">
        <f>+IF($F$6=0,AV154,IF($F$6=30,AV154,0))</f>
        <v>0</v>
      </c>
      <c r="AW89" s="331">
        <f>+IF($F$6=0,AW154,IF($F$6=30,0,IF($F$6=60,AW154,0)))</f>
        <v>0</v>
      </c>
      <c r="AX89" s="331">
        <f>+IF($F$6=0,AX154,IF($F$6=30,AX154,0))</f>
        <v>0</v>
      </c>
      <c r="AY89" s="331">
        <f>+IF($F$6=0,AY154,0)</f>
        <v>0</v>
      </c>
      <c r="AZ89" s="331">
        <f>+AZ154</f>
        <v>0</v>
      </c>
      <c r="BA89" s="331">
        <f>+IF($F$6=0,BA154,0)</f>
        <v>0</v>
      </c>
      <c r="BB89" s="331">
        <f>+IF($F$6=0,BB154,IF($F$6=30,BB154,0))</f>
        <v>0</v>
      </c>
      <c r="BC89" s="331">
        <f>+IF($F$6=0,BC154,IF($F$6=30,0,IF($F$6=60,BC154,0)))</f>
        <v>0</v>
      </c>
      <c r="BD89" s="331">
        <f>+IF($F$6=0,BD154,IF($F$6=30,BD154,0))</f>
        <v>0</v>
      </c>
      <c r="BE89" s="331">
        <f>+IF($F$6=0,BE154,0)</f>
        <v>0</v>
      </c>
      <c r="BF89" s="331">
        <f>+BF154</f>
        <v>0</v>
      </c>
      <c r="BG89" s="331">
        <f>+IF($F$6=0,BG154,0)</f>
        <v>0</v>
      </c>
      <c r="BH89" s="331">
        <f>+IF($F$6=0,BH154,IF($F$6=30,BH154,0))</f>
        <v>0</v>
      </c>
      <c r="BI89" s="331">
        <f>+IF($F$6=0,BI154,IF($F$6=30,0,IF($F$6=60,BI154,0)))</f>
        <v>0</v>
      </c>
      <c r="BJ89" s="331">
        <f>+IF($F$6=0,BJ154,IF($F$6=30,BJ154,0))</f>
        <v>0</v>
      </c>
      <c r="BK89" s="331">
        <f>+IF($F$6=0,BK154,0)</f>
        <v>0</v>
      </c>
      <c r="BL89" s="331">
        <f>+BL154</f>
        <v>0</v>
      </c>
      <c r="BM89" s="331">
        <f>+IF($F$6=0,BM154,0)</f>
        <v>0</v>
      </c>
      <c r="BN89" s="331"/>
      <c r="BO89" s="331"/>
      <c r="BP89" s="331"/>
      <c r="BQ89" s="331"/>
      <c r="BR89" s="331"/>
      <c r="BS89" s="331"/>
      <c r="BT89" s="331"/>
      <c r="BU89" s="331"/>
      <c r="BV89" s="331"/>
      <c r="BW89" s="331"/>
    </row>
    <row r="90" spans="5:76" ht="15.75">
      <c r="E90" s="416">
        <f t="shared" si="26"/>
        <v>43807</v>
      </c>
      <c r="F90" s="331"/>
      <c r="G90" s="331"/>
      <c r="H90" s="331"/>
      <c r="I90" s="331"/>
      <c r="J90" s="331"/>
      <c r="K90" s="331"/>
      <c r="L90" s="331"/>
      <c r="M90" s="331"/>
      <c r="N90" s="331"/>
      <c r="O90" s="331"/>
      <c r="P90" s="331"/>
      <c r="Q90" s="331">
        <f>+Q155</f>
        <v>0</v>
      </c>
      <c r="R90" s="331">
        <f>+IF($F$6=0,R155,0)</f>
        <v>0</v>
      </c>
      <c r="S90" s="331">
        <f>+IF($F$6=0,S155,IF($F$6=30,S155,0))</f>
        <v>0</v>
      </c>
      <c r="T90" s="331">
        <f>+IF($F$6=0,T155,IF($F$6=30,0,IF($F$6=60,T155,0)))</f>
        <v>0</v>
      </c>
      <c r="U90" s="331">
        <f>+IF($F$6=0,U155,IF($F$6=30,U155,0))</f>
        <v>0</v>
      </c>
      <c r="V90" s="331">
        <f>+IF($F$6=0,V155,0)</f>
        <v>0</v>
      </c>
      <c r="W90" s="331">
        <f>+W155</f>
        <v>0</v>
      </c>
      <c r="X90" s="331">
        <f>+IF($F$6=0,X155,0)</f>
        <v>0</v>
      </c>
      <c r="Y90" s="331">
        <f>+IF($F$6=0,Y155,IF($F$6=30,Y155,0))</f>
        <v>0</v>
      </c>
      <c r="Z90" s="331">
        <f>+IF($F$6=0,Z155,IF($F$6=30,0,IF($F$6=60,Z155,0)))</f>
        <v>0</v>
      </c>
      <c r="AA90" s="331">
        <f>+IF($F$6=0,AA155,IF($F$6=30,AA155,0))</f>
        <v>0</v>
      </c>
      <c r="AB90" s="331">
        <f>+IF($F$6=0,AB155,0)</f>
        <v>0</v>
      </c>
      <c r="AC90" s="331">
        <f>+AC155</f>
        <v>0</v>
      </c>
      <c r="AD90" s="331">
        <f>+IF($F$6=0,AD155,0)</f>
        <v>0</v>
      </c>
      <c r="AE90" s="331">
        <f>+IF($F$6=0,AE155,IF($F$6=30,AE155,0))</f>
        <v>0</v>
      </c>
      <c r="AF90" s="331">
        <f>+IF($F$6=0,AF155,IF($F$6=30,0,IF($F$6=60,AF155,0)))</f>
        <v>0</v>
      </c>
      <c r="AG90" s="331">
        <f>+IF($F$6=0,AG155,IF($F$6=30,AG155,0))</f>
        <v>0</v>
      </c>
      <c r="AH90" s="331">
        <f>+IF($F$6=0,AH155,0)</f>
        <v>0</v>
      </c>
      <c r="AI90" s="331">
        <f>+AI155</f>
        <v>0</v>
      </c>
      <c r="AJ90" s="331">
        <f>+IF($F$6=0,AJ155,0)</f>
        <v>0</v>
      </c>
      <c r="AK90" s="331">
        <f>+IF($F$6=0,AK155,IF($F$6=30,AK155,0))</f>
        <v>0</v>
      </c>
      <c r="AL90" s="331">
        <f>+IF($F$6=0,AL155,IF($F$6=30,0,IF($F$6=60,AL155,0)))</f>
        <v>0</v>
      </c>
      <c r="AM90" s="331">
        <f>+IF($F$6=0,AM155,IF($F$6=30,AM155,0))</f>
        <v>0</v>
      </c>
      <c r="AN90" s="331">
        <f>+IF($F$6=0,AN155,0)</f>
        <v>0</v>
      </c>
      <c r="AO90" s="331">
        <f>+AO155</f>
        <v>0</v>
      </c>
      <c r="AP90" s="331">
        <f>+IF($F$6=0,AP155,0)</f>
        <v>0</v>
      </c>
      <c r="AQ90" s="331">
        <f>+IF($F$6=0,AQ155,IF($F$6=30,AQ155,0))</f>
        <v>0</v>
      </c>
      <c r="AR90" s="331">
        <f>+IF($F$6=0,AR155,IF($F$6=30,0,IF($F$6=60,AR155,0)))</f>
        <v>0</v>
      </c>
      <c r="AS90" s="331">
        <f>+IF($F$6=0,AS155,IF($F$6=30,AS155,0))</f>
        <v>0</v>
      </c>
      <c r="AT90" s="331">
        <f>+IF($F$6=0,AT155,0)</f>
        <v>0</v>
      </c>
      <c r="AU90" s="331">
        <f>+AU155</f>
        <v>0</v>
      </c>
      <c r="AV90" s="331">
        <f>+IF($F$6=0,AV155,0)</f>
        <v>0</v>
      </c>
      <c r="AW90" s="331">
        <f>+IF($F$6=0,AW155,IF($F$6=30,AW155,0))</f>
        <v>0</v>
      </c>
      <c r="AX90" s="331">
        <f>+IF($F$6=0,AX155,IF($F$6=30,0,IF($F$6=60,AX155,0)))</f>
        <v>0</v>
      </c>
      <c r="AY90" s="331">
        <f>+IF($F$6=0,AY155,IF($F$6=30,AY155,0))</f>
        <v>0</v>
      </c>
      <c r="AZ90" s="331">
        <f>+IF($F$6=0,AZ155,0)</f>
        <v>0</v>
      </c>
      <c r="BA90" s="331">
        <f>+BA155</f>
        <v>0</v>
      </c>
      <c r="BB90" s="331">
        <f>+IF($F$6=0,BB155,0)</f>
        <v>0</v>
      </c>
      <c r="BC90" s="331">
        <f>+IF($F$6=0,BC155,IF($F$6=30,BC155,0))</f>
        <v>0</v>
      </c>
      <c r="BD90" s="331">
        <f>+IF($F$6=0,BD155,IF($F$6=30,0,IF($F$6=60,BD155,0)))</f>
        <v>0</v>
      </c>
      <c r="BE90" s="331">
        <f>+IF($F$6=0,BE155,IF($F$6=30,BE155,0))</f>
        <v>0</v>
      </c>
      <c r="BF90" s="331">
        <f>+IF($F$6=0,BF155,0)</f>
        <v>0</v>
      </c>
      <c r="BG90" s="331">
        <f>+BG155</f>
        <v>0</v>
      </c>
      <c r="BH90" s="331">
        <f>+IF($F$6=0,BH155,0)</f>
        <v>0</v>
      </c>
      <c r="BI90" s="331">
        <f>+IF($F$6=0,BI155,IF($F$6=30,BI155,0))</f>
        <v>0</v>
      </c>
      <c r="BJ90" s="331">
        <f>+IF($F$6=0,BJ155,IF($F$6=30,0,IF($F$6=60,BJ155,0)))</f>
        <v>0</v>
      </c>
      <c r="BK90" s="331">
        <f>+IF($F$6=0,BK155,IF($F$6=30,BK155,0))</f>
        <v>0</v>
      </c>
      <c r="BL90" s="331">
        <f>+IF($F$6=0,BL155,0)</f>
        <v>0</v>
      </c>
      <c r="BM90" s="331">
        <f>+BM155</f>
        <v>0</v>
      </c>
      <c r="BN90" s="331"/>
      <c r="BO90" s="331"/>
      <c r="BP90" s="331"/>
      <c r="BQ90" s="331"/>
      <c r="BR90" s="331"/>
      <c r="BS90" s="331"/>
      <c r="BT90" s="331"/>
      <c r="BU90" s="331"/>
      <c r="BV90" s="331"/>
      <c r="BW90" s="331"/>
      <c r="BX90" s="331"/>
    </row>
    <row r="91" spans="5:77" ht="15.75">
      <c r="E91" s="416">
        <f t="shared" si="26"/>
        <v>43838</v>
      </c>
      <c r="F91" s="331"/>
      <c r="G91" s="331"/>
      <c r="H91" s="331"/>
      <c r="I91" s="331"/>
      <c r="J91" s="331"/>
      <c r="K91" s="331"/>
      <c r="L91" s="331"/>
      <c r="M91" s="331"/>
      <c r="N91" s="331"/>
      <c r="O91" s="331"/>
      <c r="P91" s="331"/>
      <c r="Q91" s="331"/>
      <c r="R91" s="331">
        <f>+R156</f>
        <v>0</v>
      </c>
      <c r="S91" s="331">
        <f>+IF($F$6=0,S156,0)</f>
        <v>0</v>
      </c>
      <c r="T91" s="331">
        <f>+IF($F$6=0,T156,IF($F$6=30,T156,0))</f>
        <v>0</v>
      </c>
      <c r="U91" s="331">
        <f>+IF($F$6=0,U156,IF($F$6=30,0,IF($F$6=60,U156,0)))</f>
        <v>0</v>
      </c>
      <c r="V91" s="331">
        <f>+IF($F$6=0,V156,IF($F$6=30,V156,0))</f>
        <v>0</v>
      </c>
      <c r="W91" s="331">
        <f>+IF($F$6=0,W156,0)</f>
        <v>0</v>
      </c>
      <c r="X91" s="331">
        <f>+X156</f>
        <v>0</v>
      </c>
      <c r="Y91" s="331">
        <f>+IF($F$6=0,Y156,0)</f>
        <v>0</v>
      </c>
      <c r="Z91" s="331">
        <f>+IF($F$6=0,Z156,IF($F$6=30,Z156,0))</f>
        <v>0</v>
      </c>
      <c r="AA91" s="331">
        <f>+IF($F$6=0,AA156,IF($F$6=30,0,IF($F$6=60,AA156,0)))</f>
        <v>0</v>
      </c>
      <c r="AB91" s="331">
        <f>+IF($F$6=0,AB156,IF($F$6=30,AB156,0))</f>
        <v>0</v>
      </c>
      <c r="AC91" s="331">
        <f>+IF($F$6=0,AC156,0)</f>
        <v>0</v>
      </c>
      <c r="AD91" s="331">
        <f>+AD156</f>
        <v>0</v>
      </c>
      <c r="AE91" s="331">
        <f>+IF($F$6=0,AE156,0)</f>
        <v>0</v>
      </c>
      <c r="AF91" s="331">
        <f>+IF($F$6=0,AF156,IF($F$6=30,AF156,0))</f>
        <v>0</v>
      </c>
      <c r="AG91" s="331">
        <f>+IF($F$6=0,AG156,IF($F$6=30,0,IF($F$6=60,AG156,0)))</f>
        <v>0</v>
      </c>
      <c r="AH91" s="331">
        <f>+IF($F$6=0,AH156,IF($F$6=30,AH156,0))</f>
        <v>0</v>
      </c>
      <c r="AI91" s="331">
        <f>+IF($F$6=0,AI156,0)</f>
        <v>0</v>
      </c>
      <c r="AJ91" s="331">
        <f>+AJ156</f>
        <v>0</v>
      </c>
      <c r="AK91" s="331">
        <f>+IF($F$6=0,AK156,0)</f>
        <v>0</v>
      </c>
      <c r="AL91" s="331">
        <f>+IF($F$6=0,AL156,IF($F$6=30,AL156,0))</f>
        <v>0</v>
      </c>
      <c r="AM91" s="331">
        <f>+IF($F$6=0,AM156,IF($F$6=30,0,IF($F$6=60,AM156,0)))</f>
        <v>0</v>
      </c>
      <c r="AN91" s="331">
        <f>+IF($F$6=0,AN156,IF($F$6=30,AN156,0))</f>
        <v>0</v>
      </c>
      <c r="AO91" s="331">
        <f>+IF($F$6=0,AO156,0)</f>
        <v>0</v>
      </c>
      <c r="AP91" s="331">
        <f>+AP156</f>
        <v>0</v>
      </c>
      <c r="AQ91" s="331">
        <f>+IF($F$6=0,AQ156,0)</f>
        <v>0</v>
      </c>
      <c r="AR91" s="331">
        <f>+IF($F$6=0,AR156,IF($F$6=30,AR156,0))</f>
        <v>0</v>
      </c>
      <c r="AS91" s="331">
        <f>+IF($F$6=0,AS156,IF($F$6=30,0,IF($F$6=60,AS156,0)))</f>
        <v>0</v>
      </c>
      <c r="AT91" s="331">
        <f>+IF($F$6=0,AT156,IF($F$6=30,AT156,0))</f>
        <v>0</v>
      </c>
      <c r="AU91" s="331">
        <f>+IF($F$6=0,AU156,0)</f>
        <v>0</v>
      </c>
      <c r="AV91" s="331">
        <f>+AV156</f>
        <v>0</v>
      </c>
      <c r="AW91" s="331">
        <f>+IF($F$6=0,AW156,0)</f>
        <v>0</v>
      </c>
      <c r="AX91" s="331">
        <f>+IF($F$6=0,AX156,IF($F$6=30,AX156,0))</f>
        <v>0</v>
      </c>
      <c r="AY91" s="331">
        <f>+IF($F$6=0,AY156,IF($F$6=30,0,IF($F$6=60,AY156,0)))</f>
        <v>0</v>
      </c>
      <c r="AZ91" s="331">
        <f>+IF($F$6=0,AZ156,IF($F$6=30,AZ156,0))</f>
        <v>0</v>
      </c>
      <c r="BA91" s="331">
        <f>+IF($F$6=0,BA156,0)</f>
        <v>0</v>
      </c>
      <c r="BB91" s="331">
        <f>+BB156</f>
        <v>0</v>
      </c>
      <c r="BC91" s="331">
        <f>+IF($F$6=0,BC156,0)</f>
        <v>0</v>
      </c>
      <c r="BD91" s="331">
        <f>+IF($F$6=0,BD156,IF($F$6=30,BD156,0))</f>
        <v>0</v>
      </c>
      <c r="BE91" s="331">
        <f>+IF($F$6=0,BE156,IF($F$6=30,0,IF($F$6=60,BE156,0)))</f>
        <v>0</v>
      </c>
      <c r="BF91" s="331">
        <f>+IF($F$6=0,BF156,IF($F$6=30,BF156,0))</f>
        <v>0</v>
      </c>
      <c r="BG91" s="331">
        <f>+IF($F$6=0,BG156,0)</f>
        <v>0</v>
      </c>
      <c r="BH91" s="331">
        <f>+BH156</f>
        <v>0</v>
      </c>
      <c r="BI91" s="331">
        <f>+IF($F$6=0,BI156,0)</f>
        <v>0</v>
      </c>
      <c r="BJ91" s="331">
        <f>+IF($F$6=0,BJ156,IF($F$6=30,BJ156,0))</f>
        <v>0</v>
      </c>
      <c r="BK91" s="331">
        <f>+IF($F$6=0,BK156,IF($F$6=30,0,IF($F$6=60,BK156,0)))</f>
        <v>0</v>
      </c>
      <c r="BL91" s="331">
        <f>+IF($F$6=0,BL156,IF($F$6=30,BL156,0))</f>
        <v>0</v>
      </c>
      <c r="BM91" s="331">
        <f>+IF($F$6=0,BM156,0)</f>
        <v>0</v>
      </c>
      <c r="BN91" s="331"/>
      <c r="BO91" s="331"/>
      <c r="BP91" s="331"/>
      <c r="BQ91" s="331"/>
      <c r="BR91" s="331"/>
      <c r="BS91" s="331"/>
      <c r="BT91" s="331"/>
      <c r="BU91" s="331"/>
      <c r="BV91" s="331"/>
      <c r="BW91" s="331"/>
      <c r="BX91" s="331"/>
      <c r="BY91" s="331"/>
    </row>
    <row r="92" spans="5:65" s="331" customFormat="1" ht="15.75">
      <c r="E92" s="416">
        <f t="shared" si="26"/>
        <v>43869</v>
      </c>
      <c r="S92" s="331">
        <f>+S157</f>
        <v>0</v>
      </c>
      <c r="T92" s="331">
        <f>+IF($F$6=0,T157,0)</f>
        <v>0</v>
      </c>
      <c r="U92" s="331">
        <f>+IF($F$6=0,U157,IF($F$6=30,U157,0))</f>
        <v>0</v>
      </c>
      <c r="V92" s="331">
        <f>+IF($F$6=0,V157,IF($F$6=30,0,IF($F$6=60,V157,0)))</f>
        <v>0</v>
      </c>
      <c r="W92" s="331">
        <f>+IF($F$6=0,W157,IF($F$6=30,W157,0))</f>
        <v>0</v>
      </c>
      <c r="X92" s="331">
        <f>+IF($F$6=0,X157,0)</f>
        <v>0</v>
      </c>
      <c r="Y92" s="331">
        <f>+Y157</f>
        <v>0</v>
      </c>
      <c r="Z92" s="331">
        <f>+IF($F$6=0,Z157,0)</f>
        <v>0</v>
      </c>
      <c r="AA92" s="331">
        <f>+IF($F$6=0,AA157,IF($F$6=30,AA157,0))</f>
        <v>0</v>
      </c>
      <c r="AB92" s="331">
        <f>+IF($F$6=0,AB157,IF($F$6=30,0,IF($F$6=60,AB157,0)))</f>
        <v>0</v>
      </c>
      <c r="AC92" s="331">
        <f>+IF($F$6=0,AC157,IF($F$6=30,AC157,0))</f>
        <v>0</v>
      </c>
      <c r="AD92" s="331">
        <f>+IF($F$6=0,AD157,0)</f>
        <v>0</v>
      </c>
      <c r="AE92" s="331">
        <f>+AE157</f>
        <v>0</v>
      </c>
      <c r="AF92" s="331">
        <f>+IF($F$6=0,AF157,0)</f>
        <v>0</v>
      </c>
      <c r="AG92" s="331">
        <f>+IF($F$6=0,AG157,IF($F$6=30,AG157,0))</f>
        <v>0</v>
      </c>
      <c r="AH92" s="331">
        <f>+IF($F$6=0,AH157,IF($F$6=30,0,IF($F$6=60,AH157,0)))</f>
        <v>0</v>
      </c>
      <c r="AI92" s="331">
        <f>+IF($F$6=0,AI157,IF($F$6=30,AI157,0))</f>
        <v>0</v>
      </c>
      <c r="AJ92" s="331">
        <f>+IF($F$6=0,AJ157,0)</f>
        <v>0</v>
      </c>
      <c r="AK92" s="331">
        <f>+AK157</f>
        <v>0</v>
      </c>
      <c r="AL92" s="331">
        <f>+IF($F$6=0,AL157,0)</f>
        <v>0</v>
      </c>
      <c r="AM92" s="331">
        <f>+IF($F$6=0,AM157,IF($F$6=30,AM157,0))</f>
        <v>0</v>
      </c>
      <c r="AN92" s="331">
        <f>+IF($F$6=0,AN157,IF($F$6=30,0,IF($F$6=60,AN157,0)))</f>
        <v>0</v>
      </c>
      <c r="AO92" s="331">
        <f>+IF($F$6=0,AO157,IF($F$6=30,AO157,0))</f>
        <v>0</v>
      </c>
      <c r="AP92" s="331">
        <f>+IF($F$6=0,AP157,0)</f>
        <v>0</v>
      </c>
      <c r="AQ92" s="331">
        <f>+AQ157</f>
        <v>0</v>
      </c>
      <c r="AR92" s="331">
        <f>+IF($F$6=0,AR157,0)</f>
        <v>0</v>
      </c>
      <c r="AS92" s="331">
        <f>+IF($F$6=0,AS157,IF($F$6=30,AS157,0))</f>
        <v>0</v>
      </c>
      <c r="AT92" s="331">
        <f>+IF($F$6=0,AT157,IF($F$6=30,0,IF($F$6=60,AT157,0)))</f>
        <v>0</v>
      </c>
      <c r="AU92" s="331">
        <f>+IF($F$6=0,AU157,IF($F$6=30,AU157,0))</f>
        <v>0</v>
      </c>
      <c r="AV92" s="331">
        <f>+IF($F$6=0,AV157,0)</f>
        <v>0</v>
      </c>
      <c r="AW92" s="331">
        <f>+AW157</f>
        <v>0</v>
      </c>
      <c r="AX92" s="331">
        <f>+IF($F$6=0,AX157,0)</f>
        <v>0</v>
      </c>
      <c r="AY92" s="331">
        <f>+IF($F$6=0,AY157,IF($F$6=30,AY157,0))</f>
        <v>0</v>
      </c>
      <c r="AZ92" s="331">
        <f>+IF($F$6=0,AZ157,IF($F$6=30,0,IF($F$6=60,AZ157,0)))</f>
        <v>0</v>
      </c>
      <c r="BA92" s="331">
        <f>+IF($F$6=0,BA157,IF($F$6=30,BA157,0))</f>
        <v>0</v>
      </c>
      <c r="BB92" s="331">
        <f>+IF($F$6=0,BB157,0)</f>
        <v>0</v>
      </c>
      <c r="BC92" s="331">
        <f>+BC157</f>
        <v>0</v>
      </c>
      <c r="BD92" s="331">
        <f>+IF($F$6=0,BD157,0)</f>
        <v>0</v>
      </c>
      <c r="BE92" s="331">
        <f>+IF($F$6=0,BE157,IF($F$6=30,BE157,0))</f>
        <v>0</v>
      </c>
      <c r="BF92" s="331">
        <f>+IF($F$6=0,BF157,IF($F$6=30,0,IF($F$6=60,BF157,0)))</f>
        <v>0</v>
      </c>
      <c r="BG92" s="331">
        <f>+IF($F$6=0,BG157,IF($F$6=30,BG157,0))</f>
        <v>0</v>
      </c>
      <c r="BH92" s="331">
        <f>+IF($F$6=0,BH157,0)</f>
        <v>0</v>
      </c>
      <c r="BI92" s="331">
        <f>+BI157</f>
        <v>0</v>
      </c>
      <c r="BJ92" s="331">
        <f>+IF($F$6=0,BJ157,0)</f>
        <v>0</v>
      </c>
      <c r="BK92" s="331">
        <f>+IF($F$6=0,BK157,IF($F$6=30,BK157,0))</f>
        <v>0</v>
      </c>
      <c r="BL92" s="331">
        <f>+IF($F$6=0,BL157,IF($F$6=30,0,IF($F$6=60,BL157,0)))</f>
        <v>0</v>
      </c>
      <c r="BM92" s="331">
        <f>+IF($F$6=0,BM157,IF($F$6=30,BM157,0))</f>
        <v>0</v>
      </c>
    </row>
    <row r="93" spans="5:79" ht="15.75">
      <c r="E93" s="416">
        <f t="shared" si="26"/>
        <v>43900</v>
      </c>
      <c r="F93" s="331"/>
      <c r="G93" s="331"/>
      <c r="H93" s="331"/>
      <c r="I93" s="331"/>
      <c r="J93" s="331"/>
      <c r="K93" s="331"/>
      <c r="L93" s="331"/>
      <c r="M93" s="331"/>
      <c r="N93" s="331"/>
      <c r="O93" s="331"/>
      <c r="P93" s="331"/>
      <c r="Q93" s="331"/>
      <c r="R93" s="331"/>
      <c r="S93" s="331"/>
      <c r="T93" s="331">
        <f>+T158</f>
        <v>0</v>
      </c>
      <c r="U93" s="331">
        <f>+IF($F$6=0,U158,0)</f>
        <v>0</v>
      </c>
      <c r="V93" s="331">
        <f>+IF($F$6=0,V158,IF($F$6=30,V158,0))</f>
        <v>0</v>
      </c>
      <c r="W93" s="331">
        <f>+IF($F$6=0,W158,IF($F$6=30,0,IF($F$6=60,W158,0)))</f>
        <v>0</v>
      </c>
      <c r="X93" s="331">
        <f>+IF($F$6=0,X158,IF($F$6=30,X158,0))</f>
        <v>0</v>
      </c>
      <c r="Y93" s="331">
        <f>+IF($F$6=0,Y158,0)</f>
        <v>0</v>
      </c>
      <c r="Z93" s="331">
        <f>+Z158</f>
        <v>0</v>
      </c>
      <c r="AA93" s="331">
        <f>+IF($F$6=0,AA158,0)</f>
        <v>0</v>
      </c>
      <c r="AB93" s="331">
        <f>+IF($F$6=0,AB158,IF($F$6=30,AB158,0))</f>
        <v>0</v>
      </c>
      <c r="AC93" s="331">
        <f>+IF($F$6=0,AC158,IF($F$6=30,0,IF($F$6=60,AC158,0)))</f>
        <v>0</v>
      </c>
      <c r="AD93" s="331">
        <f>+IF($F$6=0,AD158,IF($F$6=30,AD158,0))</f>
        <v>0</v>
      </c>
      <c r="AE93" s="331">
        <f>+IF($F$6=0,AE158,0)</f>
        <v>0</v>
      </c>
      <c r="AF93" s="331">
        <f>+AF158</f>
        <v>0</v>
      </c>
      <c r="AG93" s="331">
        <f>+IF($F$6=0,AG158,0)</f>
        <v>0</v>
      </c>
      <c r="AH93" s="331">
        <f>+IF($F$6=0,AH158,IF($F$6=30,AH158,0))</f>
        <v>0</v>
      </c>
      <c r="AI93" s="331">
        <f>+IF($F$6=0,AI158,IF($F$6=30,0,IF($F$6=60,AI158,0)))</f>
        <v>0</v>
      </c>
      <c r="AJ93" s="331">
        <f>+IF($F$6=0,AJ158,IF($F$6=30,AJ158,0))</f>
        <v>0</v>
      </c>
      <c r="AK93" s="331">
        <f>+IF($F$6=0,AK158,0)</f>
        <v>0</v>
      </c>
      <c r="AL93" s="331">
        <f>+AL158</f>
        <v>0</v>
      </c>
      <c r="AM93" s="331">
        <f>+IF($F$6=0,AM158,0)</f>
        <v>0</v>
      </c>
      <c r="AN93" s="331">
        <f>+IF($F$6=0,AN158,IF($F$6=30,AN158,0))</f>
        <v>0</v>
      </c>
      <c r="AO93" s="331">
        <f>+IF($F$6=0,AO158,IF($F$6=30,0,IF($F$6=60,AO158,0)))</f>
        <v>0</v>
      </c>
      <c r="AP93" s="331">
        <f>+IF($F$6=0,AP158,IF($F$6=30,AP158,0))</f>
        <v>0</v>
      </c>
      <c r="AQ93" s="331">
        <f>+IF($F$6=0,AQ158,0)</f>
        <v>0</v>
      </c>
      <c r="AR93" s="331">
        <f>+AR158</f>
        <v>0</v>
      </c>
      <c r="AS93" s="331">
        <f>+IF($F$6=0,AS158,0)</f>
        <v>0</v>
      </c>
      <c r="AT93" s="331">
        <f>+IF($F$6=0,AT158,IF($F$6=30,AT158,0))</f>
        <v>0</v>
      </c>
      <c r="AU93" s="331">
        <f>+IF($F$6=0,AU158,IF($F$6=30,0,IF($F$6=60,AU158,0)))</f>
        <v>0</v>
      </c>
      <c r="AV93" s="331">
        <f>+IF($F$6=0,AV158,IF($F$6=30,AV158,0))</f>
        <v>0</v>
      </c>
      <c r="AW93" s="331">
        <f>+IF($F$6=0,AW158,0)</f>
        <v>0</v>
      </c>
      <c r="AX93" s="331">
        <f>+AX158</f>
        <v>0</v>
      </c>
      <c r="AY93" s="331">
        <f>+IF($F$6=0,AY158,0)</f>
        <v>0</v>
      </c>
      <c r="AZ93" s="331">
        <f>+IF($F$6=0,AZ158,IF($F$6=30,AZ158,0))</f>
        <v>0</v>
      </c>
      <c r="BA93" s="331">
        <f>+IF($F$6=0,BA158,IF($F$6=30,0,IF($F$6=60,BA158,0)))</f>
        <v>0</v>
      </c>
      <c r="BB93" s="331">
        <f>+IF($F$6=0,BB158,IF($F$6=30,BB158,0))</f>
        <v>0</v>
      </c>
      <c r="BC93" s="331">
        <f>+IF($F$6=0,BC158,0)</f>
        <v>0</v>
      </c>
      <c r="BD93" s="331">
        <f>+BD158</f>
        <v>0</v>
      </c>
      <c r="BE93" s="331">
        <f>+IF($F$6=0,BE158,0)</f>
        <v>0</v>
      </c>
      <c r="BF93" s="331">
        <f>+IF($F$6=0,BF158,IF($F$6=30,BF158,0))</f>
        <v>0</v>
      </c>
      <c r="BG93" s="331">
        <f>+IF($F$6=0,BG158,IF($F$6=30,0,IF($F$6=60,BG158,0)))</f>
        <v>0</v>
      </c>
      <c r="BH93" s="331">
        <f>+IF($F$6=0,BH158,IF($F$6=30,BH158,0))</f>
        <v>0</v>
      </c>
      <c r="BI93" s="331">
        <f>+IF($F$6=0,BI158,0)</f>
        <v>0</v>
      </c>
      <c r="BJ93" s="331">
        <f>+BJ158</f>
        <v>0</v>
      </c>
      <c r="BK93" s="331">
        <f>+IF($F$6=0,BK158,0)</f>
        <v>0</v>
      </c>
      <c r="BL93" s="331">
        <f>+IF($F$6=0,BL158,IF($F$6=30,BL158,0))</f>
        <v>0</v>
      </c>
      <c r="BM93" s="331">
        <f>+IF($F$6=0,BM158,IF($F$6=30,0,IF($F$6=60,BM158,0)))</f>
        <v>0</v>
      </c>
      <c r="BN93" s="331"/>
      <c r="BO93" s="331"/>
      <c r="BP93" s="331"/>
      <c r="BQ93" s="331"/>
      <c r="BR93" s="331"/>
      <c r="BS93" s="331"/>
      <c r="BT93" s="331"/>
      <c r="BU93" s="331"/>
      <c r="BV93" s="331"/>
      <c r="BW93" s="331"/>
      <c r="BX93" s="331"/>
      <c r="BY93" s="331"/>
      <c r="BZ93" s="331"/>
      <c r="CA93" s="331"/>
    </row>
    <row r="94" spans="5:80" ht="15.75">
      <c r="E94" s="416">
        <f t="shared" si="26"/>
        <v>43931</v>
      </c>
      <c r="F94" s="331"/>
      <c r="G94" s="331"/>
      <c r="H94" s="331"/>
      <c r="I94" s="331"/>
      <c r="J94" s="331"/>
      <c r="K94" s="331"/>
      <c r="L94" s="331"/>
      <c r="M94" s="331"/>
      <c r="N94" s="331"/>
      <c r="O94" s="331"/>
      <c r="P94" s="331"/>
      <c r="Q94" s="331"/>
      <c r="R94" s="331"/>
      <c r="S94" s="331"/>
      <c r="T94" s="331"/>
      <c r="U94" s="331">
        <f>+U159</f>
        <v>0</v>
      </c>
      <c r="V94" s="331">
        <f>+IF($F$6=0,V159,0)</f>
        <v>0</v>
      </c>
      <c r="W94" s="331">
        <f>+IF($F$6=0,W159,IF($F$6=30,W159,0))</f>
        <v>0</v>
      </c>
      <c r="X94" s="331">
        <f>+IF($F$6=0,X159,IF($F$6=30,0,IF($F$6=60,X159,0)))</f>
        <v>0</v>
      </c>
      <c r="Y94" s="331">
        <f>+IF($F$6=0,Y159,IF($F$6=30,Y159,0))</f>
        <v>0</v>
      </c>
      <c r="Z94" s="331">
        <f>+IF($F$6=0,Z159,0)</f>
        <v>0</v>
      </c>
      <c r="AA94" s="331">
        <f>+AA159</f>
        <v>0</v>
      </c>
      <c r="AB94" s="331">
        <f>+IF($F$6=0,AB159,0)</f>
        <v>0</v>
      </c>
      <c r="AC94" s="331">
        <f>+IF($F$6=0,AC159,IF($F$6=30,AC159,0))</f>
        <v>0</v>
      </c>
      <c r="AD94" s="331">
        <f>+IF($F$6=0,AD159,IF($F$6=30,0,IF($F$6=60,AD159,0)))</f>
        <v>0</v>
      </c>
      <c r="AE94" s="331">
        <f>+IF($F$6=0,AE159,IF($F$6=30,AE159,0))</f>
        <v>0</v>
      </c>
      <c r="AF94" s="331">
        <f>+IF($F$6=0,AF159,0)</f>
        <v>0</v>
      </c>
      <c r="AG94" s="331">
        <f>+AG159</f>
        <v>0</v>
      </c>
      <c r="AH94" s="331">
        <f>+IF($F$6=0,AH159,0)</f>
        <v>0</v>
      </c>
      <c r="AI94" s="331">
        <f>+IF($F$6=0,AI159,IF($F$6=30,AI159,0))</f>
        <v>0</v>
      </c>
      <c r="AJ94" s="331">
        <f>+IF($F$6=0,AJ159,IF($F$6=30,0,IF($F$6=60,AJ159,0)))</f>
        <v>0</v>
      </c>
      <c r="AK94" s="331">
        <f>+IF($F$6=0,AK159,IF($F$6=30,AK159,0))</f>
        <v>0</v>
      </c>
      <c r="AL94" s="331">
        <f>+IF($F$6=0,AL159,0)</f>
        <v>0</v>
      </c>
      <c r="AM94" s="331">
        <f>+AM159</f>
        <v>0</v>
      </c>
      <c r="AN94" s="331">
        <f>+IF($F$6=0,AN159,0)</f>
        <v>0</v>
      </c>
      <c r="AO94" s="331">
        <f>+IF($F$6=0,AO159,IF($F$6=30,AO159,0))</f>
        <v>0</v>
      </c>
      <c r="AP94" s="331">
        <f>+IF($F$6=0,AP159,IF($F$6=30,0,IF($F$6=60,AP159,0)))</f>
        <v>0</v>
      </c>
      <c r="AQ94" s="331">
        <f>+IF($F$6=0,AQ159,IF($F$6=30,AQ159,0))</f>
        <v>0</v>
      </c>
      <c r="AR94" s="331">
        <f>+IF($F$6=0,AR159,0)</f>
        <v>0</v>
      </c>
      <c r="AS94" s="331">
        <f>+AS159</f>
        <v>0</v>
      </c>
      <c r="AT94" s="331">
        <f>+IF($F$6=0,AT159,0)</f>
        <v>0</v>
      </c>
      <c r="AU94" s="331">
        <f>+IF($F$6=0,AU159,IF($F$6=30,AU159,0))</f>
        <v>0</v>
      </c>
      <c r="AV94" s="331">
        <f>+IF($F$6=0,AV159,IF($F$6=30,0,IF($F$6=60,AV159,0)))</f>
        <v>0</v>
      </c>
      <c r="AW94" s="331">
        <f>+IF($F$6=0,AW159,IF($F$6=30,AW159,0))</f>
        <v>0</v>
      </c>
      <c r="AX94" s="331">
        <f>+IF($F$6=0,AX159,0)</f>
        <v>0</v>
      </c>
      <c r="AY94" s="331">
        <f>+AY159</f>
        <v>0</v>
      </c>
      <c r="AZ94" s="331">
        <f>+IF($F$6=0,AZ159,0)</f>
        <v>0</v>
      </c>
      <c r="BA94" s="331">
        <f>+IF($F$6=0,BA159,IF($F$6=30,BA159,0))</f>
        <v>0</v>
      </c>
      <c r="BB94" s="331">
        <f>+IF($F$6=0,BB159,IF($F$6=30,0,IF($F$6=60,BB159,0)))</f>
        <v>0</v>
      </c>
      <c r="BC94" s="331">
        <f>+IF($F$6=0,BC159,IF($F$6=30,BC159,0))</f>
        <v>0</v>
      </c>
      <c r="BD94" s="331">
        <f>+IF($F$6=0,BD159,0)</f>
        <v>0</v>
      </c>
      <c r="BE94" s="331">
        <f>+BE159</f>
        <v>0</v>
      </c>
      <c r="BF94" s="331">
        <f>+IF($F$6=0,BF159,0)</f>
        <v>0</v>
      </c>
      <c r="BG94" s="331">
        <f>+IF($F$6=0,BG159,IF($F$6=30,BG159,0))</f>
        <v>0</v>
      </c>
      <c r="BH94" s="331">
        <f>+IF($F$6=0,BH159,IF($F$6=30,0,IF($F$6=60,BH159,0)))</f>
        <v>0</v>
      </c>
      <c r="BI94" s="331">
        <f>+IF($F$6=0,BI159,IF($F$6=30,BI159,0))</f>
        <v>0</v>
      </c>
      <c r="BJ94" s="331">
        <f>+IF($F$6=0,BJ159,0)</f>
        <v>0</v>
      </c>
      <c r="BK94" s="331">
        <f>+BK159</f>
        <v>0</v>
      </c>
      <c r="BL94" s="331">
        <f>+IF($F$6=0,BL159,0)</f>
        <v>0</v>
      </c>
      <c r="BM94" s="331">
        <f>+IF($F$6=0,BM159,IF($F$6=30,BM159,0))</f>
        <v>0</v>
      </c>
      <c r="BN94" s="331"/>
      <c r="BO94" s="331"/>
      <c r="BP94" s="331"/>
      <c r="BQ94" s="331"/>
      <c r="BR94" s="331"/>
      <c r="BS94" s="331"/>
      <c r="BT94" s="331"/>
      <c r="BU94" s="331"/>
      <c r="BV94" s="331"/>
      <c r="BW94" s="331"/>
      <c r="BX94" s="331"/>
      <c r="BY94" s="331"/>
      <c r="BZ94" s="331"/>
      <c r="CA94" s="331"/>
      <c r="CB94" s="331"/>
    </row>
    <row r="95" spans="5:81" ht="15.75">
      <c r="E95" s="416">
        <f t="shared" si="26"/>
        <v>43962</v>
      </c>
      <c r="F95" s="331"/>
      <c r="G95" s="331"/>
      <c r="H95" s="331"/>
      <c r="I95" s="331"/>
      <c r="J95" s="331"/>
      <c r="K95" s="331"/>
      <c r="L95" s="331"/>
      <c r="M95" s="331"/>
      <c r="N95" s="331"/>
      <c r="O95" s="331"/>
      <c r="P95" s="331"/>
      <c r="Q95" s="331"/>
      <c r="R95" s="331"/>
      <c r="S95" s="331"/>
      <c r="T95" s="331"/>
      <c r="U95" s="331"/>
      <c r="V95" s="331">
        <f>+V160</f>
        <v>0</v>
      </c>
      <c r="W95" s="331">
        <f>+IF($F$6=0,W160,0)</f>
        <v>0</v>
      </c>
      <c r="X95" s="331">
        <f>+IF($F$6=0,X160,IF($F$6=30,X160,0))</f>
        <v>0</v>
      </c>
      <c r="Y95" s="331">
        <f>+IF($F$6=0,Y160,IF($F$6=30,0,IF($F$6=60,Y160,0)))</f>
        <v>0</v>
      </c>
      <c r="Z95" s="331">
        <f>+IF($F$6=0,Z160,IF($F$6=30,Z160,0))</f>
        <v>0</v>
      </c>
      <c r="AA95" s="331">
        <f>+IF($F$6=0,AA160,0)</f>
        <v>0</v>
      </c>
      <c r="AB95" s="331">
        <f>+AB160</f>
        <v>0</v>
      </c>
      <c r="AC95" s="331">
        <f>+IF($F$6=0,AC160,0)</f>
        <v>0</v>
      </c>
      <c r="AD95" s="331">
        <f>+IF($F$6=0,AD160,IF($F$6=30,AD160,0))</f>
        <v>0</v>
      </c>
      <c r="AE95" s="331">
        <f>+IF($F$6=0,AE160,IF($F$6=30,0,IF($F$6=60,AE160,0)))</f>
        <v>0</v>
      </c>
      <c r="AF95" s="331">
        <f>+IF($F$6=0,AF160,IF($F$6=30,AF160,0))</f>
        <v>0</v>
      </c>
      <c r="AG95" s="331">
        <f>+IF($F$6=0,AG160,0)</f>
        <v>0</v>
      </c>
      <c r="AH95" s="331">
        <f>+AH160</f>
        <v>0</v>
      </c>
      <c r="AI95" s="331">
        <f>+IF($F$6=0,AI160,0)</f>
        <v>0</v>
      </c>
      <c r="AJ95" s="331">
        <f>+IF($F$6=0,AJ160,IF($F$6=30,AJ160,0))</f>
        <v>0</v>
      </c>
      <c r="AK95" s="331">
        <f>+IF($F$6=0,AK160,IF($F$6=30,0,IF($F$6=60,AK160,0)))</f>
        <v>0</v>
      </c>
      <c r="AL95" s="331">
        <f>+IF($F$6=0,AL160,IF($F$6=30,AL160,0))</f>
        <v>0</v>
      </c>
      <c r="AM95" s="331">
        <f>+IF($F$6=0,AM160,0)</f>
        <v>0</v>
      </c>
      <c r="AN95" s="331">
        <f>+AN160</f>
        <v>0</v>
      </c>
      <c r="AO95" s="331">
        <f>+IF($F$6=0,AO160,0)</f>
        <v>0</v>
      </c>
      <c r="AP95" s="331">
        <f>+IF($F$6=0,AP160,IF($F$6=30,AP160,0))</f>
        <v>0</v>
      </c>
      <c r="AQ95" s="331">
        <f>+IF($F$6=0,AQ160,IF($F$6=30,0,IF($F$6=60,AQ160,0)))</f>
        <v>0</v>
      </c>
      <c r="AR95" s="331">
        <f>+IF($F$6=0,AR160,IF($F$6=30,AR160,0))</f>
        <v>0</v>
      </c>
      <c r="AS95" s="331">
        <f>+IF($F$6=0,AS160,0)</f>
        <v>0</v>
      </c>
      <c r="AT95" s="331">
        <f>+AT160</f>
        <v>0</v>
      </c>
      <c r="AU95" s="331">
        <f>+IF($F$6=0,AU160,0)</f>
        <v>0</v>
      </c>
      <c r="AV95" s="331">
        <f>+IF($F$6=0,AV160,IF($F$6=30,AV160,0))</f>
        <v>0</v>
      </c>
      <c r="AW95" s="331">
        <f>+IF($F$6=0,AW160,IF($F$6=30,0,IF($F$6=60,AW160,0)))</f>
        <v>0</v>
      </c>
      <c r="AX95" s="331">
        <f>+IF($F$6=0,AX160,IF($F$6=30,AX160,0))</f>
        <v>0</v>
      </c>
      <c r="AY95" s="331">
        <f>+IF($F$6=0,AY160,0)</f>
        <v>0</v>
      </c>
      <c r="AZ95" s="331">
        <f>+AZ160</f>
        <v>0</v>
      </c>
      <c r="BA95" s="331">
        <f>+IF($F$6=0,BA160,0)</f>
        <v>0</v>
      </c>
      <c r="BB95" s="331">
        <f>+IF($F$6=0,BB160,IF($F$6=30,BB160,0))</f>
        <v>0</v>
      </c>
      <c r="BC95" s="331">
        <f>+IF($F$6=0,BC160,IF($F$6=30,0,IF($F$6=60,BC160,0)))</f>
        <v>0</v>
      </c>
      <c r="BD95" s="331">
        <f>+IF($F$6=0,BD160,IF($F$6=30,BD160,0))</f>
        <v>0</v>
      </c>
      <c r="BE95" s="331">
        <f>+IF($F$6=0,BE160,0)</f>
        <v>0</v>
      </c>
      <c r="BF95" s="331">
        <f>+BF160</f>
        <v>0</v>
      </c>
      <c r="BG95" s="331">
        <f>+IF($F$6=0,BG160,0)</f>
        <v>0</v>
      </c>
      <c r="BH95" s="331">
        <f>+IF($F$6=0,BH160,IF($F$6=30,BH160,0))</f>
        <v>0</v>
      </c>
      <c r="BI95" s="331">
        <f>+IF($F$6=0,BI160,IF($F$6=30,0,IF($F$6=60,BI160,0)))</f>
        <v>0</v>
      </c>
      <c r="BJ95" s="331">
        <f>+IF($F$6=0,BJ160,IF($F$6=30,BJ160,0))</f>
        <v>0</v>
      </c>
      <c r="BK95" s="331">
        <f>+IF($F$6=0,BK160,0)</f>
        <v>0</v>
      </c>
      <c r="BL95" s="331">
        <f>+BL160</f>
        <v>0</v>
      </c>
      <c r="BM95" s="331">
        <f>+IF($F$6=0,BM160,0)</f>
        <v>0</v>
      </c>
      <c r="BN95" s="331"/>
      <c r="BO95" s="331"/>
      <c r="BP95" s="331"/>
      <c r="BQ95" s="331"/>
      <c r="BR95" s="331"/>
      <c r="BS95" s="331"/>
      <c r="BT95" s="331"/>
      <c r="BU95" s="331"/>
      <c r="BV95" s="331"/>
      <c r="BW95" s="331"/>
      <c r="BX95" s="331"/>
      <c r="BY95" s="331"/>
      <c r="BZ95" s="331"/>
      <c r="CA95" s="331"/>
      <c r="CB95" s="331"/>
      <c r="CC95" s="331"/>
    </row>
    <row r="96" spans="5:82" ht="15.75">
      <c r="E96" s="416">
        <f t="shared" si="26"/>
        <v>43993</v>
      </c>
      <c r="F96" s="331"/>
      <c r="G96" s="331"/>
      <c r="H96" s="331"/>
      <c r="I96" s="331"/>
      <c r="J96" s="331"/>
      <c r="K96" s="331"/>
      <c r="L96" s="331"/>
      <c r="M96" s="331"/>
      <c r="N96" s="331"/>
      <c r="O96" s="331"/>
      <c r="P96" s="331"/>
      <c r="Q96" s="331"/>
      <c r="R96" s="331"/>
      <c r="S96" s="331"/>
      <c r="T96" s="331"/>
      <c r="U96" s="331"/>
      <c r="V96" s="331"/>
      <c r="W96" s="331">
        <f>+W161</f>
        <v>0</v>
      </c>
      <c r="X96" s="331">
        <f>+IF($F$6=0,X161,0)</f>
        <v>0</v>
      </c>
      <c r="Y96" s="331">
        <f>+IF($F$6=0,Y161,IF($F$6=30,Y161,0))</f>
        <v>0</v>
      </c>
      <c r="Z96" s="331">
        <f>+IF($F$6=0,Z161,IF($F$6=30,0,IF($F$6=60,Z161,0)))</f>
        <v>0</v>
      </c>
      <c r="AA96" s="331">
        <f>+IF($F$6=0,AA161,IF($F$6=30,AA161,0))</f>
        <v>0</v>
      </c>
      <c r="AB96" s="331">
        <f>+IF($F$6=0,AB161,0)</f>
        <v>0</v>
      </c>
      <c r="AC96" s="331">
        <f>+AC161</f>
        <v>0</v>
      </c>
      <c r="AD96" s="331">
        <f>+IF($F$6=0,AD161,0)</f>
        <v>0</v>
      </c>
      <c r="AE96" s="331">
        <f>+IF($F$6=0,AE161,IF($F$6=30,AE161,0))</f>
        <v>0</v>
      </c>
      <c r="AF96" s="331">
        <f>+IF($F$6=0,AF161,IF($F$6=30,0,IF($F$6=60,AF161,0)))</f>
        <v>0</v>
      </c>
      <c r="AG96" s="331">
        <f>+IF($F$6=0,AG161,IF($F$6=30,AG161,0))</f>
        <v>0</v>
      </c>
      <c r="AH96" s="331">
        <f>+IF($F$6=0,AH161,0)</f>
        <v>0</v>
      </c>
      <c r="AI96" s="331">
        <f>+AI161</f>
        <v>0</v>
      </c>
      <c r="AJ96" s="331">
        <f>+IF($F$6=0,AJ161,0)</f>
        <v>0</v>
      </c>
      <c r="AK96" s="331">
        <f>+IF($F$6=0,AK161,IF($F$6=30,AK161,0))</f>
        <v>0</v>
      </c>
      <c r="AL96" s="331">
        <f>+IF($F$6=0,AL161,IF($F$6=30,0,IF($F$6=60,AL161,0)))</f>
        <v>0</v>
      </c>
      <c r="AM96" s="331">
        <f>+IF($F$6=0,AM161,IF($F$6=30,AM161,0))</f>
        <v>0</v>
      </c>
      <c r="AN96" s="331">
        <f>+IF($F$6=0,AN161,0)</f>
        <v>0</v>
      </c>
      <c r="AO96" s="331">
        <f>+AO161</f>
        <v>0</v>
      </c>
      <c r="AP96" s="331">
        <f>+IF($F$6=0,AP161,0)</f>
        <v>0</v>
      </c>
      <c r="AQ96" s="331">
        <f>+IF($F$6=0,AQ161,IF($F$6=30,AQ161,0))</f>
        <v>0</v>
      </c>
      <c r="AR96" s="331">
        <f>+IF($F$6=0,AR161,IF($F$6=30,0,IF($F$6=60,AR161,0)))</f>
        <v>0</v>
      </c>
      <c r="AS96" s="331">
        <f>+IF($F$6=0,AS161,IF($F$6=30,AS161,0))</f>
        <v>0</v>
      </c>
      <c r="AT96" s="331">
        <f>+IF($F$6=0,AT161,0)</f>
        <v>0</v>
      </c>
      <c r="AU96" s="331">
        <f>+AU161</f>
        <v>0</v>
      </c>
      <c r="AV96" s="331">
        <f>+IF($F$6=0,AV161,0)</f>
        <v>0</v>
      </c>
      <c r="AW96" s="331">
        <f>+IF($F$6=0,AW161,IF($F$6=30,AW161,0))</f>
        <v>0</v>
      </c>
      <c r="AX96" s="331">
        <f>+IF($F$6=0,AX161,IF($F$6=30,0,IF($F$6=60,AX161,0)))</f>
        <v>0</v>
      </c>
      <c r="AY96" s="331">
        <f>+IF($F$6=0,AY161,IF($F$6=30,AY161,0))</f>
        <v>0</v>
      </c>
      <c r="AZ96" s="331">
        <f>+IF($F$6=0,AZ161,0)</f>
        <v>0</v>
      </c>
      <c r="BA96" s="331">
        <f>+BA161</f>
        <v>0</v>
      </c>
      <c r="BB96" s="331">
        <f>+IF($F$6=0,BB161,0)</f>
        <v>0</v>
      </c>
      <c r="BC96" s="331">
        <f>+IF($F$6=0,BC161,IF($F$6=30,BC161,0))</f>
        <v>0</v>
      </c>
      <c r="BD96" s="331">
        <f>+IF($F$6=0,BD161,IF($F$6=30,0,IF($F$6=60,BD161,0)))</f>
        <v>0</v>
      </c>
      <c r="BE96" s="331">
        <f>+IF($F$6=0,BE161,IF($F$6=30,BE161,0))</f>
        <v>0</v>
      </c>
      <c r="BF96" s="331">
        <f>+IF($F$6=0,BF161,0)</f>
        <v>0</v>
      </c>
      <c r="BG96" s="331">
        <f>+BG161</f>
        <v>0</v>
      </c>
      <c r="BH96" s="331">
        <f>+IF($F$6=0,BH161,0)</f>
        <v>0</v>
      </c>
      <c r="BI96" s="331">
        <f>+IF($F$6=0,BI161,IF($F$6=30,BI161,0))</f>
        <v>0</v>
      </c>
      <c r="BJ96" s="331">
        <f>+IF($F$6=0,BJ161,IF($F$6=30,0,IF($F$6=60,BJ161,0)))</f>
        <v>0</v>
      </c>
      <c r="BK96" s="331">
        <f>+IF($F$6=0,BK161,IF($F$6=30,BK161,0))</f>
        <v>0</v>
      </c>
      <c r="BL96" s="331">
        <f>+IF($F$6=0,BL161,0)</f>
        <v>0</v>
      </c>
      <c r="BM96" s="331">
        <f>+BM161</f>
        <v>0</v>
      </c>
      <c r="BN96" s="331"/>
      <c r="BO96" s="331"/>
      <c r="BP96" s="331"/>
      <c r="BQ96" s="331"/>
      <c r="BR96" s="331"/>
      <c r="BS96" s="331"/>
      <c r="BT96" s="331"/>
      <c r="BU96" s="331"/>
      <c r="BV96" s="331"/>
      <c r="BW96" s="331"/>
      <c r="BX96" s="331"/>
      <c r="BY96" s="331"/>
      <c r="BZ96" s="331"/>
      <c r="CA96" s="331"/>
      <c r="CB96" s="331"/>
      <c r="CC96" s="331"/>
      <c r="CD96" s="331"/>
    </row>
    <row r="97" spans="5:83" ht="15.75">
      <c r="E97" s="416">
        <f t="shared" si="26"/>
        <v>44024</v>
      </c>
      <c r="F97" s="331"/>
      <c r="G97" s="331"/>
      <c r="H97" s="331"/>
      <c r="I97" s="331"/>
      <c r="J97" s="331"/>
      <c r="K97" s="331"/>
      <c r="L97" s="331"/>
      <c r="M97" s="331"/>
      <c r="N97" s="331"/>
      <c r="O97" s="331"/>
      <c r="P97" s="331"/>
      <c r="Q97" s="331"/>
      <c r="R97" s="331"/>
      <c r="S97" s="331"/>
      <c r="T97" s="331"/>
      <c r="U97" s="331"/>
      <c r="V97" s="331"/>
      <c r="W97" s="331"/>
      <c r="X97" s="331">
        <f>+X162</f>
        <v>0</v>
      </c>
      <c r="Y97" s="331">
        <f>+IF($F$6=0,Y162,0)</f>
        <v>0</v>
      </c>
      <c r="Z97" s="331">
        <f>+IF($F$6=0,Z162,IF($F$6=30,Z162,0))</f>
        <v>0</v>
      </c>
      <c r="AA97" s="331">
        <f>+IF($F$6=0,AA162,IF($F$6=30,0,IF($F$6=60,AA162,0)))</f>
        <v>0</v>
      </c>
      <c r="AB97" s="331">
        <f>+IF($F$6=0,AB162,IF($F$6=30,AB162,0))</f>
        <v>0</v>
      </c>
      <c r="AC97" s="331">
        <f>+IF($F$6=0,AC162,0)</f>
        <v>0</v>
      </c>
      <c r="AD97" s="331">
        <f>+AD162</f>
        <v>0</v>
      </c>
      <c r="AE97" s="331">
        <f>+IF($F$6=0,AE162,0)</f>
        <v>0</v>
      </c>
      <c r="AF97" s="331">
        <f>+IF($F$6=0,AF162,IF($F$6=30,AF162,0))</f>
        <v>0</v>
      </c>
      <c r="AG97" s="331">
        <f>+IF($F$6=0,AG162,IF($F$6=30,0,IF($F$6=60,AG162,0)))</f>
        <v>0</v>
      </c>
      <c r="AH97" s="331">
        <f>+IF($F$6=0,AH162,IF($F$6=30,AH162,0))</f>
        <v>0</v>
      </c>
      <c r="AI97" s="331">
        <f>+IF($F$6=0,AI162,0)</f>
        <v>0</v>
      </c>
      <c r="AJ97" s="331">
        <f>+AJ162</f>
        <v>0</v>
      </c>
      <c r="AK97" s="331">
        <f>+IF($F$6=0,AK162,0)</f>
        <v>0</v>
      </c>
      <c r="AL97" s="331">
        <f>+IF($F$6=0,AL162,IF($F$6=30,AL162,0))</f>
        <v>0</v>
      </c>
      <c r="AM97" s="331">
        <f>+IF($F$6=0,AM162,IF($F$6=30,0,IF($F$6=60,AM162,0)))</f>
        <v>0</v>
      </c>
      <c r="AN97" s="331">
        <f>+IF($F$6=0,AN162,IF($F$6=30,AN162,0))</f>
        <v>0</v>
      </c>
      <c r="AO97" s="331">
        <f>+IF($F$6=0,AO162,0)</f>
        <v>0</v>
      </c>
      <c r="AP97" s="331">
        <f>+AP162</f>
        <v>0</v>
      </c>
      <c r="AQ97" s="331">
        <f>+IF($F$6=0,AQ162,0)</f>
        <v>0</v>
      </c>
      <c r="AR97" s="331">
        <f>+IF($F$6=0,AR162,IF($F$6=30,AR162,0))</f>
        <v>0</v>
      </c>
      <c r="AS97" s="331">
        <f>+IF($F$6=0,AS162,IF($F$6=30,0,IF($F$6=60,AS162,0)))</f>
        <v>0</v>
      </c>
      <c r="AT97" s="331">
        <f>+IF($F$6=0,AT162,IF($F$6=30,AT162,0))</f>
        <v>0</v>
      </c>
      <c r="AU97" s="331">
        <f>+IF($F$6=0,AU162,0)</f>
        <v>0</v>
      </c>
      <c r="AV97" s="331">
        <f>+AV162</f>
        <v>0</v>
      </c>
      <c r="AW97" s="331">
        <f>+IF($F$6=0,AW162,0)</f>
        <v>0</v>
      </c>
      <c r="AX97" s="331">
        <f>+IF($F$6=0,AX162,IF($F$6=30,AX162,0))</f>
        <v>0</v>
      </c>
      <c r="AY97" s="331">
        <f>+IF($F$6=0,AY162,IF($F$6=30,0,IF($F$6=60,AY162,0)))</f>
        <v>0</v>
      </c>
      <c r="AZ97" s="331">
        <f>+IF($F$6=0,AZ162,IF($F$6=30,AZ162,0))</f>
        <v>0</v>
      </c>
      <c r="BA97" s="331">
        <f>+IF($F$6=0,BA162,0)</f>
        <v>0</v>
      </c>
      <c r="BB97" s="331">
        <f>+BB162</f>
        <v>0</v>
      </c>
      <c r="BC97" s="331">
        <f>+IF($F$6=0,BC162,0)</f>
        <v>0</v>
      </c>
      <c r="BD97" s="331">
        <f>+IF($F$6=0,BD162,IF($F$6=30,BD162,0))</f>
        <v>0</v>
      </c>
      <c r="BE97" s="331">
        <f>+IF($F$6=0,BE162,IF($F$6=30,0,IF($F$6=60,BE162,0)))</f>
        <v>0</v>
      </c>
      <c r="BF97" s="331">
        <f>+IF($F$6=0,BF162,IF($F$6=30,BF162,0))</f>
        <v>0</v>
      </c>
      <c r="BG97" s="331">
        <f>+IF($F$6=0,BG162,0)</f>
        <v>0</v>
      </c>
      <c r="BH97" s="331">
        <f>+BH162</f>
        <v>0</v>
      </c>
      <c r="BI97" s="331">
        <f>+IF($F$6=0,BI162,0)</f>
        <v>0</v>
      </c>
      <c r="BJ97" s="331">
        <f>+IF($F$6=0,BJ162,IF($F$6=30,BJ162,0))</f>
        <v>0</v>
      </c>
      <c r="BK97" s="331">
        <f>+IF($F$6=0,BK162,IF($F$6=30,0,IF($F$6=60,BK162,0)))</f>
        <v>0</v>
      </c>
      <c r="BL97" s="331">
        <f>+IF($F$6=0,BL162,IF($F$6=30,BL162,0))</f>
        <v>0</v>
      </c>
      <c r="BM97" s="331">
        <f>+IF($F$6=0,BM162,0)</f>
        <v>0</v>
      </c>
      <c r="BN97" s="331"/>
      <c r="BO97" s="331"/>
      <c r="BP97" s="331"/>
      <c r="BQ97" s="331"/>
      <c r="BR97" s="331"/>
      <c r="BS97" s="331"/>
      <c r="BT97" s="331"/>
      <c r="BU97" s="331"/>
      <c r="BV97" s="331"/>
      <c r="BW97" s="331"/>
      <c r="BX97" s="331"/>
      <c r="BY97" s="331"/>
      <c r="BZ97" s="331"/>
      <c r="CA97" s="331"/>
      <c r="CB97" s="331"/>
      <c r="CC97" s="331"/>
      <c r="CD97" s="331"/>
      <c r="CE97" s="331"/>
    </row>
    <row r="98" spans="5:84" ht="15.75">
      <c r="E98" s="416">
        <f t="shared" si="26"/>
        <v>44055</v>
      </c>
      <c r="F98" s="331"/>
      <c r="G98" s="331"/>
      <c r="H98" s="331"/>
      <c r="I98" s="331"/>
      <c r="J98" s="331"/>
      <c r="K98" s="331"/>
      <c r="L98" s="331"/>
      <c r="M98" s="331"/>
      <c r="N98" s="331"/>
      <c r="O98" s="331"/>
      <c r="P98" s="331"/>
      <c r="Q98" s="331"/>
      <c r="R98" s="331"/>
      <c r="S98" s="331"/>
      <c r="T98" s="331"/>
      <c r="U98" s="331"/>
      <c r="V98" s="331"/>
      <c r="W98" s="331"/>
      <c r="X98" s="331"/>
      <c r="Y98" s="331">
        <f>+Y163</f>
        <v>0</v>
      </c>
      <c r="Z98" s="331">
        <f>+IF($F$6=0,Z163,0)</f>
        <v>0</v>
      </c>
      <c r="AA98" s="331">
        <f>+IF($F$6=0,AA163,IF($F$6=30,AA163,0))</f>
        <v>0</v>
      </c>
      <c r="AB98" s="331">
        <f>+IF($F$6=0,AB163,IF($F$6=30,0,IF($F$6=60,AB163,0)))</f>
        <v>0</v>
      </c>
      <c r="AC98" s="331">
        <f>+IF($F$6=0,AC163,IF($F$6=30,AC163,0))</f>
        <v>0</v>
      </c>
      <c r="AD98" s="331">
        <f>+IF($F$6=0,AD163,0)</f>
        <v>0</v>
      </c>
      <c r="AE98" s="331">
        <f>+AE163</f>
        <v>0</v>
      </c>
      <c r="AF98" s="331">
        <f>+IF($F$6=0,AF163,0)</f>
        <v>0</v>
      </c>
      <c r="AG98" s="331">
        <f>+IF($F$6=0,AG163,IF($F$6=30,AG163,0))</f>
        <v>0</v>
      </c>
      <c r="AH98" s="331">
        <f>+IF($F$6=0,AH163,IF($F$6=30,0,IF($F$6=60,AH163,0)))</f>
        <v>0</v>
      </c>
      <c r="AI98" s="331">
        <f>+IF($F$6=0,AI163,IF($F$6=30,AI163,0))</f>
        <v>0</v>
      </c>
      <c r="AJ98" s="331">
        <f>+IF($F$6=0,AJ163,0)</f>
        <v>0</v>
      </c>
      <c r="AK98" s="331">
        <f>+AK163</f>
        <v>0</v>
      </c>
      <c r="AL98" s="331">
        <f>+IF($F$6=0,AL163,0)</f>
        <v>0</v>
      </c>
      <c r="AM98" s="331">
        <f>+IF($F$6=0,AM163,IF($F$6=30,AM163,0))</f>
        <v>0</v>
      </c>
      <c r="AN98" s="331">
        <f>+IF($F$6=0,AN163,IF($F$6=30,0,IF($F$6=60,AN163,0)))</f>
        <v>0</v>
      </c>
      <c r="AO98" s="331">
        <f>+IF($F$6=0,AO163,IF($F$6=30,AO163,0))</f>
        <v>0</v>
      </c>
      <c r="AP98" s="331">
        <f>+IF($F$6=0,AP163,0)</f>
        <v>0</v>
      </c>
      <c r="AQ98" s="331">
        <f>+AQ163</f>
        <v>0</v>
      </c>
      <c r="AR98" s="331">
        <f>+IF($F$6=0,AR163,0)</f>
        <v>0</v>
      </c>
      <c r="AS98" s="331">
        <f>+IF($F$6=0,AS163,IF($F$6=30,AS163,0))</f>
        <v>0</v>
      </c>
      <c r="AT98" s="331">
        <f>+IF($F$6=0,AT163,IF($F$6=30,0,IF($F$6=60,AT163,0)))</f>
        <v>0</v>
      </c>
      <c r="AU98" s="331">
        <f>+IF($F$6=0,AU163,IF($F$6=30,AU163,0))</f>
        <v>0</v>
      </c>
      <c r="AV98" s="331">
        <f>+IF($F$6=0,AV163,0)</f>
        <v>0</v>
      </c>
      <c r="AW98" s="331">
        <f>+AW163</f>
        <v>0</v>
      </c>
      <c r="AX98" s="331">
        <f>+IF($F$6=0,AX163,0)</f>
        <v>0</v>
      </c>
      <c r="AY98" s="331">
        <f>+IF($F$6=0,AY163,IF($F$6=30,AY163,0))</f>
        <v>0</v>
      </c>
      <c r="AZ98" s="331">
        <f>+IF($F$6=0,AZ163,IF($F$6=30,0,IF($F$6=60,AZ163,0)))</f>
        <v>0</v>
      </c>
      <c r="BA98" s="331">
        <f>+IF($F$6=0,BA163,IF($F$6=30,BA163,0))</f>
        <v>0</v>
      </c>
      <c r="BB98" s="331">
        <f>+IF($F$6=0,BB163,0)</f>
        <v>0</v>
      </c>
      <c r="BC98" s="331">
        <f>+BC163</f>
        <v>0</v>
      </c>
      <c r="BD98" s="331">
        <f>+IF($F$6=0,BD163,0)</f>
        <v>0</v>
      </c>
      <c r="BE98" s="331">
        <f>+IF($F$6=0,BE163,IF($F$6=30,BE163,0))</f>
        <v>0</v>
      </c>
      <c r="BF98" s="331">
        <f>+IF($F$6=0,BF163,IF($F$6=30,0,IF($F$6=60,BF163,0)))</f>
        <v>0</v>
      </c>
      <c r="BG98" s="331">
        <f>+IF($F$6=0,BG163,IF($F$6=30,BG163,0))</f>
        <v>0</v>
      </c>
      <c r="BH98" s="331">
        <f>+IF($F$6=0,BH163,0)</f>
        <v>0</v>
      </c>
      <c r="BI98" s="331">
        <f>+BI163</f>
        <v>0</v>
      </c>
      <c r="BJ98" s="331">
        <f>+IF($F$6=0,BJ163,0)</f>
        <v>0</v>
      </c>
      <c r="BK98" s="331">
        <f>+IF($F$6=0,BK163,IF($F$6=30,BK163,0))</f>
        <v>0</v>
      </c>
      <c r="BL98" s="331">
        <f>+IF($F$6=0,BL163,IF($F$6=30,0,IF($F$6=60,BL163,0)))</f>
        <v>0</v>
      </c>
      <c r="BM98" s="331">
        <f>+IF($F$6=0,BM163,IF($F$6=30,BM163,0))</f>
        <v>0</v>
      </c>
      <c r="BN98" s="331"/>
      <c r="BO98" s="331"/>
      <c r="BP98" s="331"/>
      <c r="BQ98" s="331"/>
      <c r="BR98" s="331"/>
      <c r="BS98" s="331"/>
      <c r="BT98" s="331"/>
      <c r="BU98" s="331"/>
      <c r="BV98" s="331"/>
      <c r="BW98" s="331"/>
      <c r="BX98" s="331"/>
      <c r="BY98" s="331"/>
      <c r="BZ98" s="331"/>
      <c r="CA98" s="331"/>
      <c r="CB98" s="331"/>
      <c r="CC98" s="331"/>
      <c r="CD98" s="331"/>
      <c r="CE98" s="331"/>
      <c r="CF98" s="331"/>
    </row>
    <row r="99" spans="5:85" ht="15.75">
      <c r="E99" s="416">
        <f t="shared" si="26"/>
        <v>44086</v>
      </c>
      <c r="F99" s="331"/>
      <c r="G99" s="331"/>
      <c r="H99" s="331"/>
      <c r="I99" s="331"/>
      <c r="J99" s="331"/>
      <c r="K99" s="331"/>
      <c r="L99" s="331"/>
      <c r="M99" s="331"/>
      <c r="N99" s="331"/>
      <c r="O99" s="331"/>
      <c r="P99" s="331"/>
      <c r="Q99" s="331"/>
      <c r="R99" s="331"/>
      <c r="S99" s="331"/>
      <c r="T99" s="331"/>
      <c r="U99" s="331"/>
      <c r="V99" s="331"/>
      <c r="W99" s="331"/>
      <c r="X99" s="331"/>
      <c r="Y99" s="331"/>
      <c r="Z99" s="331">
        <f>+Z164</f>
        <v>0</v>
      </c>
      <c r="AA99" s="331">
        <f>+IF($F$6=0,AA164,0)</f>
        <v>0</v>
      </c>
      <c r="AB99" s="331">
        <f>+IF($F$6=0,AB164,IF($F$6=30,AB164,0))</f>
        <v>0</v>
      </c>
      <c r="AC99" s="331">
        <f>+IF($F$6=0,AC164,IF($F$6=30,0,IF($F$6=60,AC164,0)))</f>
        <v>0</v>
      </c>
      <c r="AD99" s="331">
        <f>+IF($F$6=0,AD164,IF($F$6=30,AD164,0))</f>
        <v>0</v>
      </c>
      <c r="AE99" s="331">
        <f>+IF($F$6=0,AE164,0)</f>
        <v>0</v>
      </c>
      <c r="AF99" s="331">
        <f>+AF164</f>
        <v>0</v>
      </c>
      <c r="AG99" s="331">
        <f>+IF($F$6=0,AG164,0)</f>
        <v>0</v>
      </c>
      <c r="AH99" s="331">
        <f>+IF($F$6=0,AH164,IF($F$6=30,AH164,0))</f>
        <v>0</v>
      </c>
      <c r="AI99" s="331">
        <f>+IF($F$6=0,AI164,IF($F$6=30,0,IF($F$6=60,AI164,0)))</f>
        <v>0</v>
      </c>
      <c r="AJ99" s="331">
        <f>+IF($F$6=0,AJ164,IF($F$6=30,AJ164,0))</f>
        <v>0</v>
      </c>
      <c r="AK99" s="331">
        <f>+IF($F$6=0,AK164,0)</f>
        <v>0</v>
      </c>
      <c r="AL99" s="331">
        <f>+AL164</f>
        <v>0</v>
      </c>
      <c r="AM99" s="331">
        <f>+IF($F$6=0,AM164,0)</f>
        <v>0</v>
      </c>
      <c r="AN99" s="331">
        <f>+IF($F$6=0,AN164,IF($F$6=30,AN164,0))</f>
        <v>0</v>
      </c>
      <c r="AO99" s="331">
        <f>+IF($F$6=0,AO164,IF($F$6=30,0,IF($F$6=60,AO164,0)))</f>
        <v>0</v>
      </c>
      <c r="AP99" s="331">
        <f>+IF($F$6=0,AP164,IF($F$6=30,AP164,0))</f>
        <v>0</v>
      </c>
      <c r="AQ99" s="331">
        <f>+IF($F$6=0,AQ164,0)</f>
        <v>0</v>
      </c>
      <c r="AR99" s="331">
        <f>+AR164</f>
        <v>0</v>
      </c>
      <c r="AS99" s="331">
        <f>+IF($F$6=0,AS164,0)</f>
        <v>0</v>
      </c>
      <c r="AT99" s="331">
        <f>+IF($F$6=0,AT164,IF($F$6=30,AT164,0))</f>
        <v>0</v>
      </c>
      <c r="AU99" s="331">
        <f>+IF($F$6=0,AU164,IF($F$6=30,0,IF($F$6=60,AU164,0)))</f>
        <v>0</v>
      </c>
      <c r="AV99" s="331">
        <f>+IF($F$6=0,AV164,IF($F$6=30,AV164,0))</f>
        <v>0</v>
      </c>
      <c r="AW99" s="331">
        <f>+IF($F$6=0,AW164,0)</f>
        <v>0</v>
      </c>
      <c r="AX99" s="331">
        <f>+AX164</f>
        <v>0</v>
      </c>
      <c r="AY99" s="331">
        <f>+IF($F$6=0,AY164,0)</f>
        <v>0</v>
      </c>
      <c r="AZ99" s="331">
        <f>+IF($F$6=0,AZ164,IF($F$6=30,AZ164,0))</f>
        <v>0</v>
      </c>
      <c r="BA99" s="331">
        <f>+IF($F$6=0,BA164,IF($F$6=30,0,IF($F$6=60,BA164,0)))</f>
        <v>0</v>
      </c>
      <c r="BB99" s="331">
        <f>+IF($F$6=0,BB164,IF($F$6=30,BB164,0))</f>
        <v>0</v>
      </c>
      <c r="BC99" s="331">
        <f>+IF($F$6=0,BC164,0)</f>
        <v>0</v>
      </c>
      <c r="BD99" s="331">
        <f>+BD164</f>
        <v>0</v>
      </c>
      <c r="BE99" s="331">
        <f>+IF($F$6=0,BE164,0)</f>
        <v>0</v>
      </c>
      <c r="BF99" s="331">
        <f>+IF($F$6=0,BF164,IF($F$6=30,BF164,0))</f>
        <v>0</v>
      </c>
      <c r="BG99" s="331">
        <f>+IF($F$6=0,BG164,IF($F$6=30,0,IF($F$6=60,BG164,0)))</f>
        <v>0</v>
      </c>
      <c r="BH99" s="331">
        <f>+IF($F$6=0,BH164,IF($F$6=30,BH164,0))</f>
        <v>0</v>
      </c>
      <c r="BI99" s="331">
        <f>+IF($F$6=0,BI164,0)</f>
        <v>0</v>
      </c>
      <c r="BJ99" s="331">
        <f>+BJ164</f>
        <v>0</v>
      </c>
      <c r="BK99" s="331">
        <f>+IF($F$6=0,BK164,0)</f>
        <v>0</v>
      </c>
      <c r="BL99" s="331">
        <f>+IF($F$6=0,BL164,IF($F$6=30,BL164,0))</f>
        <v>0</v>
      </c>
      <c r="BM99" s="331">
        <f>+IF($F$6=0,BM164,IF($F$6=30,0,IF($F$6=60,BM164,0)))</f>
        <v>0</v>
      </c>
      <c r="BN99" s="331"/>
      <c r="BO99" s="331"/>
      <c r="BP99" s="331"/>
      <c r="BQ99" s="331"/>
      <c r="BR99" s="331"/>
      <c r="BS99" s="331"/>
      <c r="BT99" s="331"/>
      <c r="BU99" s="331"/>
      <c r="BV99" s="331"/>
      <c r="BW99" s="331"/>
      <c r="BX99" s="331"/>
      <c r="BY99" s="331"/>
      <c r="BZ99" s="331"/>
      <c r="CA99" s="331"/>
      <c r="CB99" s="331"/>
      <c r="CC99" s="331"/>
      <c r="CD99" s="331"/>
      <c r="CE99" s="331"/>
      <c r="CF99" s="331"/>
      <c r="CG99" s="331"/>
    </row>
    <row r="100" spans="5:86" ht="15.75">
      <c r="E100" s="416">
        <f t="shared" si="26"/>
        <v>44117</v>
      </c>
      <c r="F100" s="331"/>
      <c r="G100" s="331"/>
      <c r="H100" s="331"/>
      <c r="I100" s="331"/>
      <c r="J100" s="331"/>
      <c r="K100" s="331"/>
      <c r="L100" s="331"/>
      <c r="M100" s="331"/>
      <c r="N100" s="331"/>
      <c r="O100" s="331"/>
      <c r="P100" s="331"/>
      <c r="Q100" s="331"/>
      <c r="R100" s="331"/>
      <c r="S100" s="331"/>
      <c r="T100" s="331"/>
      <c r="U100" s="331"/>
      <c r="V100" s="331"/>
      <c r="W100" s="331"/>
      <c r="X100" s="331"/>
      <c r="Y100" s="331"/>
      <c r="Z100" s="331"/>
      <c r="AA100" s="331">
        <f>+AA165</f>
        <v>0</v>
      </c>
      <c r="AB100" s="331">
        <f>+IF($F$6=0,AB165,0)</f>
        <v>0</v>
      </c>
      <c r="AC100" s="331">
        <f>+IF($F$6=0,AC165,IF($F$6=30,AC165,0))</f>
        <v>0</v>
      </c>
      <c r="AD100" s="331">
        <f>+IF($F$6=0,AD165,IF($F$6=30,0,IF($F$6=60,AD165,0)))</f>
        <v>0</v>
      </c>
      <c r="AE100" s="331">
        <f>+IF($F$6=0,AE165,IF($F$6=30,AE165,0))</f>
        <v>0</v>
      </c>
      <c r="AF100" s="331">
        <f>+IF($F$6=0,AF165,0)</f>
        <v>0</v>
      </c>
      <c r="AG100" s="331">
        <f>+AG165</f>
        <v>0</v>
      </c>
      <c r="AH100" s="331">
        <f>+IF($F$6=0,AH165,0)</f>
        <v>0</v>
      </c>
      <c r="AI100" s="331">
        <f>+IF($F$6=0,AI165,IF($F$6=30,AI165,0))</f>
        <v>0</v>
      </c>
      <c r="AJ100" s="331">
        <f>+IF($F$6=0,AJ165,IF($F$6=30,0,IF($F$6=60,AJ165,0)))</f>
        <v>0</v>
      </c>
      <c r="AK100" s="331">
        <f>+IF($F$6=0,AK165,IF($F$6=30,AK165,0))</f>
        <v>0</v>
      </c>
      <c r="AL100" s="331">
        <f>+IF($F$6=0,AL165,0)</f>
        <v>0</v>
      </c>
      <c r="AM100" s="331">
        <f>+AM165</f>
        <v>0</v>
      </c>
      <c r="AN100" s="331">
        <f>+IF($F$6=0,AN165,0)</f>
        <v>0</v>
      </c>
      <c r="AO100" s="331">
        <f>+IF($F$6=0,AO165,IF($F$6=30,AO165,0))</f>
        <v>0</v>
      </c>
      <c r="AP100" s="331">
        <f>+IF($F$6=0,AP165,IF($F$6=30,0,IF($F$6=60,AP165,0)))</f>
        <v>0</v>
      </c>
      <c r="AQ100" s="331">
        <f>+IF($F$6=0,AQ165,IF($F$6=30,AQ165,0))</f>
        <v>0</v>
      </c>
      <c r="AR100" s="331">
        <f>+IF($F$6=0,AR165,0)</f>
        <v>0</v>
      </c>
      <c r="AS100" s="331">
        <f>+AS165</f>
        <v>0</v>
      </c>
      <c r="AT100" s="331">
        <f>+IF($F$6=0,AT165,0)</f>
        <v>0</v>
      </c>
      <c r="AU100" s="331">
        <f>+IF($F$6=0,AU165,IF($F$6=30,AU165,0))</f>
        <v>0</v>
      </c>
      <c r="AV100" s="331">
        <f>+IF($F$6=0,AV165,IF($F$6=30,0,IF($F$6=60,AV165,0)))</f>
        <v>0</v>
      </c>
      <c r="AW100" s="331">
        <f>+IF($F$6=0,AW165,IF($F$6=30,AW165,0))</f>
        <v>0</v>
      </c>
      <c r="AX100" s="331">
        <f>+IF($F$6=0,AX165,0)</f>
        <v>0</v>
      </c>
      <c r="AY100" s="331">
        <f>+AY165</f>
        <v>0</v>
      </c>
      <c r="AZ100" s="331">
        <f>+IF($F$6=0,AZ165,0)</f>
        <v>0</v>
      </c>
      <c r="BA100" s="331">
        <f>+IF($F$6=0,BA165,IF($F$6=30,BA165,0))</f>
        <v>0</v>
      </c>
      <c r="BB100" s="331">
        <f>+IF($F$6=0,BB165,IF($F$6=30,0,IF($F$6=60,BB165,0)))</f>
        <v>0</v>
      </c>
      <c r="BC100" s="331">
        <f>+IF($F$6=0,BC165,IF($F$6=30,BC165,0))</f>
        <v>0</v>
      </c>
      <c r="BD100" s="331">
        <f>+IF($F$6=0,BD165,0)</f>
        <v>0</v>
      </c>
      <c r="BE100" s="331">
        <f>+BE165</f>
        <v>0</v>
      </c>
      <c r="BF100" s="331">
        <f>+IF($F$6=0,BF165,0)</f>
        <v>0</v>
      </c>
      <c r="BG100" s="331">
        <f>+IF($F$6=0,BG165,IF($F$6=30,BG165,0))</f>
        <v>0</v>
      </c>
      <c r="BH100" s="331">
        <f>+IF($F$6=0,BH165,IF($F$6=30,0,IF($F$6=60,BH165,0)))</f>
        <v>0</v>
      </c>
      <c r="BI100" s="331">
        <f>+IF($F$6=0,BI165,IF($F$6=30,BI165,0))</f>
        <v>0</v>
      </c>
      <c r="BJ100" s="331">
        <f>+IF($F$6=0,BJ165,0)</f>
        <v>0</v>
      </c>
      <c r="BK100" s="331">
        <f>+BK165</f>
        <v>0</v>
      </c>
      <c r="BL100" s="331">
        <f>+IF($F$6=0,BL165,0)</f>
        <v>0</v>
      </c>
      <c r="BM100" s="331">
        <f>+IF($F$6=0,BM165,IF($F$6=30,BM165,0))</f>
        <v>0</v>
      </c>
      <c r="BN100" s="331"/>
      <c r="BO100" s="331"/>
      <c r="BP100" s="331"/>
      <c r="BQ100" s="331"/>
      <c r="BR100" s="331"/>
      <c r="BS100" s="331"/>
      <c r="BT100" s="331"/>
      <c r="BU100" s="331"/>
      <c r="BV100" s="331"/>
      <c r="BW100" s="331"/>
      <c r="BX100" s="331"/>
      <c r="BY100" s="331"/>
      <c r="BZ100" s="331"/>
      <c r="CA100" s="331"/>
      <c r="CB100" s="331"/>
      <c r="CC100" s="331"/>
      <c r="CD100" s="331"/>
      <c r="CE100" s="331"/>
      <c r="CF100" s="331"/>
      <c r="CG100" s="331"/>
      <c r="CH100" s="331"/>
    </row>
    <row r="101" spans="5:87" ht="15.75">
      <c r="E101" s="416">
        <f t="shared" si="26"/>
        <v>44148</v>
      </c>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f>+AB166</f>
        <v>0</v>
      </c>
      <c r="AC101" s="331">
        <f>+IF($F$6=0,AC166,0)</f>
        <v>0</v>
      </c>
      <c r="AD101" s="331">
        <f>+IF($F$6=0,AD166,IF($F$6=30,AD166,0))</f>
        <v>0</v>
      </c>
      <c r="AE101" s="331">
        <f>+IF($F$6=0,AE166,IF($F$6=30,0,IF($F$6=60,AE166,0)))</f>
        <v>0</v>
      </c>
      <c r="AF101" s="331">
        <f>+IF($F$6=0,AF166,IF($F$6=30,AF166,0))</f>
        <v>0</v>
      </c>
      <c r="AG101" s="331">
        <f>+IF($F$6=0,AG166,0)</f>
        <v>0</v>
      </c>
      <c r="AH101" s="331">
        <f>+AH166</f>
        <v>0</v>
      </c>
      <c r="AI101" s="331">
        <f>+IF($F$6=0,AI166,0)</f>
        <v>0</v>
      </c>
      <c r="AJ101" s="331">
        <f>+IF($F$6=0,AJ166,IF($F$6=30,AJ166,0))</f>
        <v>0</v>
      </c>
      <c r="AK101" s="331">
        <f>+IF($F$6=0,AK166,IF($F$6=30,0,IF($F$6=60,AK166,0)))</f>
        <v>0</v>
      </c>
      <c r="AL101" s="331">
        <f>+IF($F$6=0,AL166,IF($F$6=30,AL166,0))</f>
        <v>0</v>
      </c>
      <c r="AM101" s="331">
        <f>+IF($F$6=0,AM166,0)</f>
        <v>0</v>
      </c>
      <c r="AN101" s="331">
        <f>+AN166</f>
        <v>0</v>
      </c>
      <c r="AO101" s="331">
        <f>+IF($F$6=0,AO166,0)</f>
        <v>0</v>
      </c>
      <c r="AP101" s="331">
        <f>+IF($F$6=0,AP166,IF($F$6=30,AP166,0))</f>
        <v>0</v>
      </c>
      <c r="AQ101" s="331">
        <f>+IF($F$6=0,AQ166,IF($F$6=30,0,IF($F$6=60,AQ166,0)))</f>
        <v>0</v>
      </c>
      <c r="AR101" s="331">
        <f>+IF($F$6=0,AR166,IF($F$6=30,AR166,0))</f>
        <v>0</v>
      </c>
      <c r="AS101" s="331">
        <f>+IF($F$6=0,AS166,0)</f>
        <v>0</v>
      </c>
      <c r="AT101" s="331">
        <f>+AT166</f>
        <v>0</v>
      </c>
      <c r="AU101" s="331">
        <f>+IF($F$6=0,AU166,0)</f>
        <v>0</v>
      </c>
      <c r="AV101" s="331">
        <f>+IF($F$6=0,AV166,IF($F$6=30,AV166,0))</f>
        <v>0</v>
      </c>
      <c r="AW101" s="331">
        <f>+IF($F$6=0,AW166,IF($F$6=30,0,IF($F$6=60,AW166,0)))</f>
        <v>0</v>
      </c>
      <c r="AX101" s="331">
        <f>+IF($F$6=0,AX166,IF($F$6=30,AX166,0))</f>
        <v>0</v>
      </c>
      <c r="AY101" s="331">
        <f>+IF($F$6=0,AY166,0)</f>
        <v>0</v>
      </c>
      <c r="AZ101" s="331">
        <f>+AZ166</f>
        <v>0</v>
      </c>
      <c r="BA101" s="331">
        <f>+IF($F$6=0,BA166,0)</f>
        <v>0</v>
      </c>
      <c r="BB101" s="331">
        <f>+IF($F$6=0,BB166,IF($F$6=30,BB166,0))</f>
        <v>0</v>
      </c>
      <c r="BC101" s="331">
        <f>+IF($F$6=0,BC166,IF($F$6=30,0,IF($F$6=60,BC166,0)))</f>
        <v>0</v>
      </c>
      <c r="BD101" s="331">
        <f>+IF($F$6=0,BD166,IF($F$6=30,BD166,0))</f>
        <v>0</v>
      </c>
      <c r="BE101" s="331">
        <f>+IF($F$6=0,BE166,0)</f>
        <v>0</v>
      </c>
      <c r="BF101" s="331">
        <f>+BF166</f>
        <v>0</v>
      </c>
      <c r="BG101" s="331">
        <f>+IF($F$6=0,BG166,0)</f>
        <v>0</v>
      </c>
      <c r="BH101" s="331">
        <f>+IF($F$6=0,BH166,IF($F$6=30,BH166,0))</f>
        <v>0</v>
      </c>
      <c r="BI101" s="331">
        <f>+IF($F$6=0,BI166,IF($F$6=30,0,IF($F$6=60,BI166,0)))</f>
        <v>0</v>
      </c>
      <c r="BJ101" s="331">
        <f>+IF($F$6=0,BJ166,IF($F$6=30,BJ166,0))</f>
        <v>0</v>
      </c>
      <c r="BK101" s="331">
        <f>+IF($F$6=0,BK166,0)</f>
        <v>0</v>
      </c>
      <c r="BL101" s="331">
        <f>+BL166</f>
        <v>0</v>
      </c>
      <c r="BM101" s="331">
        <f>+IF($F$6=0,BM166,0)</f>
        <v>0</v>
      </c>
      <c r="BN101" s="331"/>
      <c r="BO101" s="331"/>
      <c r="BP101" s="331"/>
      <c r="BQ101" s="331"/>
      <c r="BR101" s="331"/>
      <c r="BS101" s="331"/>
      <c r="BT101" s="331"/>
      <c r="BU101" s="331"/>
      <c r="BV101" s="331"/>
      <c r="BW101" s="331"/>
      <c r="BX101" s="331"/>
      <c r="BY101" s="331"/>
      <c r="BZ101" s="331"/>
      <c r="CA101" s="331"/>
      <c r="CB101" s="331"/>
      <c r="CC101" s="331"/>
      <c r="CD101" s="331"/>
      <c r="CE101" s="331"/>
      <c r="CF101" s="331"/>
      <c r="CG101" s="331"/>
      <c r="CH101" s="331"/>
      <c r="CI101" s="331"/>
    </row>
    <row r="102" spans="5:88" ht="15.75">
      <c r="E102" s="416">
        <f t="shared" si="26"/>
        <v>44179</v>
      </c>
      <c r="F102" s="331"/>
      <c r="G102" s="331"/>
      <c r="H102" s="331"/>
      <c r="I102" s="331"/>
      <c r="J102" s="331"/>
      <c r="K102" s="331"/>
      <c r="L102" s="331"/>
      <c r="M102" s="331"/>
      <c r="N102" s="331"/>
      <c r="O102" s="331"/>
      <c r="P102" s="331"/>
      <c r="Q102" s="331"/>
      <c r="R102" s="331"/>
      <c r="S102" s="331"/>
      <c r="T102" s="331"/>
      <c r="U102" s="331"/>
      <c r="V102" s="331"/>
      <c r="W102" s="331"/>
      <c r="X102" s="331"/>
      <c r="Y102" s="331"/>
      <c r="Z102" s="331"/>
      <c r="AA102" s="331"/>
      <c r="AB102" s="331"/>
      <c r="AC102" s="331">
        <f>+AC167</f>
        <v>0</v>
      </c>
      <c r="AD102" s="331">
        <f>+IF($F$6=0,AD167,0)</f>
        <v>0</v>
      </c>
      <c r="AE102" s="331">
        <f>+IF($F$6=0,AE167,IF($F$6=30,AE167,0))</f>
        <v>0</v>
      </c>
      <c r="AF102" s="331">
        <f>+IF($F$6=0,AF167,IF($F$6=30,0,IF($F$6=60,AF167,0)))</f>
        <v>0</v>
      </c>
      <c r="AG102" s="331">
        <f>+IF($F$6=0,AG167,IF($F$6=30,AG167,0))</f>
        <v>0</v>
      </c>
      <c r="AH102" s="331">
        <f>+IF($F$6=0,AH167,0)</f>
        <v>0</v>
      </c>
      <c r="AI102" s="331">
        <f>+AI167</f>
        <v>0</v>
      </c>
      <c r="AJ102" s="331">
        <f>+IF($F$6=0,AJ167,0)</f>
        <v>0</v>
      </c>
      <c r="AK102" s="331">
        <f>+IF($F$6=0,AK167,IF($F$6=30,AK167,0))</f>
        <v>0</v>
      </c>
      <c r="AL102" s="331">
        <f>+IF($F$6=0,AL167,IF($F$6=30,0,IF($F$6=60,AL167,0)))</f>
        <v>0</v>
      </c>
      <c r="AM102" s="331">
        <f>+IF($F$6=0,AM167,IF($F$6=30,AM167,0))</f>
        <v>0</v>
      </c>
      <c r="AN102" s="331">
        <f>+IF($F$6=0,AN167,0)</f>
        <v>0</v>
      </c>
      <c r="AO102" s="331">
        <f>+AO167</f>
        <v>0</v>
      </c>
      <c r="AP102" s="331">
        <f>+IF($F$6=0,AP167,0)</f>
        <v>0</v>
      </c>
      <c r="AQ102" s="331">
        <f>+IF($F$6=0,AQ167,IF($F$6=30,AQ167,0))</f>
        <v>0</v>
      </c>
      <c r="AR102" s="331">
        <f>+IF($F$6=0,AR167,IF($F$6=30,0,IF($F$6=60,AR167,0)))</f>
        <v>0</v>
      </c>
      <c r="AS102" s="331">
        <f>+IF($F$6=0,AS167,IF($F$6=30,AS167,0))</f>
        <v>0</v>
      </c>
      <c r="AT102" s="331">
        <f>+IF($F$6=0,AT167,0)</f>
        <v>0</v>
      </c>
      <c r="AU102" s="331">
        <f>+AU167</f>
        <v>0</v>
      </c>
      <c r="AV102" s="331">
        <f>+IF($F$6=0,AV167,0)</f>
        <v>0</v>
      </c>
      <c r="AW102" s="331">
        <f>+IF($F$6=0,AW167,IF($F$6=30,AW167,0))</f>
        <v>0</v>
      </c>
      <c r="AX102" s="331">
        <f>+IF($F$6=0,AX167,IF($F$6=30,0,IF($F$6=60,AX167,0)))</f>
        <v>0</v>
      </c>
      <c r="AY102" s="331">
        <f>+IF($F$6=0,AY167,IF($F$6=30,AY167,0))</f>
        <v>0</v>
      </c>
      <c r="AZ102" s="331">
        <f>+IF($F$6=0,AZ167,0)</f>
        <v>0</v>
      </c>
      <c r="BA102" s="331">
        <f>+BA167</f>
        <v>0</v>
      </c>
      <c r="BB102" s="331">
        <f>+IF($F$6=0,BB167,0)</f>
        <v>0</v>
      </c>
      <c r="BC102" s="331">
        <f>+IF($F$6=0,BC167,IF($F$6=30,BC167,0))</f>
        <v>0</v>
      </c>
      <c r="BD102" s="331">
        <f>+IF($F$6=0,BD167,IF($F$6=30,0,IF($F$6=60,BD167,0)))</f>
        <v>0</v>
      </c>
      <c r="BE102" s="331">
        <f>+IF($F$6=0,BE167,IF($F$6=30,BE167,0))</f>
        <v>0</v>
      </c>
      <c r="BF102" s="331">
        <f>+IF($F$6=0,BF167,0)</f>
        <v>0</v>
      </c>
      <c r="BG102" s="331">
        <f>+BG167</f>
        <v>0</v>
      </c>
      <c r="BH102" s="331">
        <f>+IF($F$6=0,BH167,0)</f>
        <v>0</v>
      </c>
      <c r="BI102" s="331">
        <f>+IF($F$6=0,BI167,IF($F$6=30,BI167,0))</f>
        <v>0</v>
      </c>
      <c r="BJ102" s="331">
        <f>+IF($F$6=0,BJ167,IF($F$6=30,0,IF($F$6=60,BJ167,0)))</f>
        <v>0</v>
      </c>
      <c r="BK102" s="331">
        <f>+IF($F$6=0,BK167,IF($F$6=30,BK167,0))</f>
        <v>0</v>
      </c>
      <c r="BL102" s="331">
        <f>+IF($F$6=0,BL167,0)</f>
        <v>0</v>
      </c>
      <c r="BM102" s="331">
        <f>+BM167</f>
        <v>0</v>
      </c>
      <c r="BN102" s="331"/>
      <c r="BO102" s="331"/>
      <c r="BP102" s="331"/>
      <c r="BQ102" s="331"/>
      <c r="BR102" s="331"/>
      <c r="BS102" s="331"/>
      <c r="BT102" s="331"/>
      <c r="BU102" s="331"/>
      <c r="BV102" s="331"/>
      <c r="BW102" s="331"/>
      <c r="BX102" s="331"/>
      <c r="BY102" s="331"/>
      <c r="BZ102" s="331"/>
      <c r="CA102" s="331"/>
      <c r="CB102" s="331"/>
      <c r="CC102" s="331"/>
      <c r="CD102" s="331"/>
      <c r="CE102" s="331"/>
      <c r="CF102" s="331"/>
      <c r="CG102" s="331"/>
      <c r="CH102" s="331"/>
      <c r="CI102" s="331"/>
      <c r="CJ102" s="331"/>
    </row>
    <row r="103" spans="5:89" ht="15.75">
      <c r="E103" s="416">
        <f t="shared" si="26"/>
        <v>44210</v>
      </c>
      <c r="F103" s="331"/>
      <c r="K103" s="331"/>
      <c r="M103" s="331"/>
      <c r="Y103" s="331"/>
      <c r="Z103" s="331"/>
      <c r="AA103" s="331"/>
      <c r="AB103" s="331"/>
      <c r="AC103" s="331"/>
      <c r="AD103" s="331">
        <f>+AD168</f>
        <v>0</v>
      </c>
      <c r="AE103" s="331">
        <f>+IF($F$6=0,AE168,0)</f>
        <v>0</v>
      </c>
      <c r="AF103" s="331">
        <f>+IF($F$6=0,AF168,IF($F$6=30,AF168,0))</f>
        <v>0</v>
      </c>
      <c r="AG103" s="331">
        <f>+IF($F$6=0,AG168,IF($F$6=30,0,IF($F$6=60,AG168,0)))</f>
        <v>0</v>
      </c>
      <c r="AH103" s="331">
        <f>+IF($F$6=0,AH168,IF($F$6=30,AH168,0))</f>
        <v>0</v>
      </c>
      <c r="AI103" s="331">
        <f>+IF($F$6=0,AI168,0)</f>
        <v>0</v>
      </c>
      <c r="AJ103" s="331">
        <f>+AJ168</f>
        <v>0</v>
      </c>
      <c r="AK103" s="331">
        <f>+IF($F$6=0,AK168,0)</f>
        <v>0</v>
      </c>
      <c r="AL103" s="331">
        <f>+IF($F$6=0,AL168,IF($F$6=30,AL168,0))</f>
        <v>0</v>
      </c>
      <c r="AM103" s="331">
        <f>+IF($F$6=0,AM168,IF($F$6=30,0,IF($F$6=60,AM168,0)))</f>
        <v>0</v>
      </c>
      <c r="AN103" s="331">
        <f>+IF($F$6=0,AN168,IF($F$6=30,AN168,0))</f>
        <v>0</v>
      </c>
      <c r="AO103" s="331">
        <f>+IF($F$6=0,AO168,0)</f>
        <v>0</v>
      </c>
      <c r="AP103" s="331">
        <f>+AP168</f>
        <v>0</v>
      </c>
      <c r="AQ103" s="331">
        <f>+IF($F$6=0,AQ168,0)</f>
        <v>0</v>
      </c>
      <c r="AR103" s="331">
        <f>+IF($F$6=0,AR168,IF($F$6=30,AR168,0))</f>
        <v>0</v>
      </c>
      <c r="AS103" s="331">
        <f>+IF($F$6=0,AS168,IF($F$6=30,0,IF($F$6=60,AS168,0)))</f>
        <v>0</v>
      </c>
      <c r="AT103" s="331">
        <f>+IF($F$6=0,AT168,IF($F$6=30,AT168,0))</f>
        <v>0</v>
      </c>
      <c r="AU103" s="331">
        <f>+IF($F$6=0,AU168,0)</f>
        <v>0</v>
      </c>
      <c r="AV103" s="331">
        <f>+AV168</f>
        <v>0</v>
      </c>
      <c r="AW103" s="331">
        <f>+IF($F$6=0,AW168,0)</f>
        <v>0</v>
      </c>
      <c r="AX103" s="331">
        <f>+IF($F$6=0,AX168,IF($F$6=30,AX168,0))</f>
        <v>0</v>
      </c>
      <c r="AY103" s="331">
        <f>+IF($F$6=0,AY168,IF($F$6=30,0,IF($F$6=60,AY168,0)))</f>
        <v>0</v>
      </c>
      <c r="AZ103" s="331">
        <f>+IF($F$6=0,AZ168,IF($F$6=30,AZ168,0))</f>
        <v>0</v>
      </c>
      <c r="BA103" s="331">
        <f>+IF($F$6=0,BA168,0)</f>
        <v>0</v>
      </c>
      <c r="BB103" s="331">
        <f>+BB168</f>
        <v>0</v>
      </c>
      <c r="BC103" s="331">
        <f>+IF($F$6=0,BC168,0)</f>
        <v>0</v>
      </c>
      <c r="BD103" s="331">
        <f>+IF($F$6=0,BD168,IF($F$6=30,BD168,0))</f>
        <v>0</v>
      </c>
      <c r="BE103" s="331">
        <f>+IF($F$6=0,BE168,IF($F$6=30,0,IF($F$6=60,BE168,0)))</f>
        <v>0</v>
      </c>
      <c r="BF103" s="331">
        <f>+IF($F$6=0,BF168,IF($F$6=30,BF168,0))</f>
        <v>0</v>
      </c>
      <c r="BG103" s="331">
        <f>+IF($F$6=0,BG168,0)</f>
        <v>0</v>
      </c>
      <c r="BH103" s="331">
        <f>+BH168</f>
        <v>0</v>
      </c>
      <c r="BI103" s="331">
        <f>+IF($F$6=0,BI168,0)</f>
        <v>0</v>
      </c>
      <c r="BJ103" s="331">
        <f>+IF($F$6=0,BJ168,IF($F$6=30,BJ168,0))</f>
        <v>0</v>
      </c>
      <c r="BK103" s="331">
        <f>+IF($F$6=0,BK168,IF($F$6=30,0,IF($F$6=60,BK168,0)))</f>
        <v>0</v>
      </c>
      <c r="BL103" s="331">
        <f>+IF($F$6=0,BL168,IF($F$6=30,BL168,0))</f>
        <v>0</v>
      </c>
      <c r="BM103" s="331">
        <f>+IF($F$6=0,BM168,0)</f>
        <v>0</v>
      </c>
      <c r="BN103" s="331"/>
      <c r="BO103" s="331"/>
      <c r="BP103" s="331"/>
      <c r="BQ103" s="331"/>
      <c r="BR103" s="331"/>
      <c r="BS103" s="331"/>
      <c r="BT103" s="331"/>
      <c r="BU103" s="331"/>
      <c r="BV103" s="331"/>
      <c r="BW103" s="331"/>
      <c r="BX103" s="331"/>
      <c r="BY103" s="331"/>
      <c r="BZ103" s="331"/>
      <c r="CA103" s="331"/>
      <c r="CB103" s="331"/>
      <c r="CC103" s="331"/>
      <c r="CD103" s="331"/>
      <c r="CE103" s="331"/>
      <c r="CF103" s="331"/>
      <c r="CG103" s="331"/>
      <c r="CH103" s="331"/>
      <c r="CI103" s="331"/>
      <c r="CJ103" s="331"/>
      <c r="CK103" s="331"/>
    </row>
    <row r="104" spans="5:90" ht="15.75">
      <c r="E104" s="416">
        <f t="shared" si="26"/>
        <v>44241</v>
      </c>
      <c r="F104" s="331"/>
      <c r="K104" s="331"/>
      <c r="M104" s="331"/>
      <c r="Y104" s="331"/>
      <c r="Z104" s="331"/>
      <c r="AA104" s="331"/>
      <c r="AB104" s="331"/>
      <c r="AC104" s="331"/>
      <c r="AD104" s="331"/>
      <c r="AE104" s="331">
        <f>+AE169</f>
        <v>0</v>
      </c>
      <c r="AF104" s="331">
        <f>+IF($F$6=0,AF169,0)</f>
        <v>0</v>
      </c>
      <c r="AG104" s="331">
        <f>+IF($F$6=0,AG169,IF($F$6=30,AG169,0))</f>
        <v>0</v>
      </c>
      <c r="AH104" s="331">
        <f>+IF($F$6=0,AH169,IF($F$6=30,0,IF($F$6=60,AH169,0)))</f>
        <v>0</v>
      </c>
      <c r="AI104" s="331">
        <f>+IF($F$6=0,AI169,IF($F$6=30,AI169,0))</f>
        <v>0</v>
      </c>
      <c r="AJ104" s="331">
        <f>+IF($F$6=0,AJ169,0)</f>
        <v>0</v>
      </c>
      <c r="AK104" s="331">
        <f>+AK169</f>
        <v>0</v>
      </c>
      <c r="AL104" s="331">
        <f>+IF($F$6=0,AL169,0)</f>
        <v>0</v>
      </c>
      <c r="AM104" s="331">
        <f>+IF($F$6=0,AM169,IF($F$6=30,AM169,0))</f>
        <v>0</v>
      </c>
      <c r="AN104" s="331">
        <f>+IF($F$6=0,AN169,IF($F$6=30,0,IF($F$6=60,AN169,0)))</f>
        <v>0</v>
      </c>
      <c r="AO104" s="331">
        <f>+IF($F$6=0,AO169,IF($F$6=30,AO169,0))</f>
        <v>0</v>
      </c>
      <c r="AP104" s="331">
        <f>+IF($F$6=0,AP169,0)</f>
        <v>0</v>
      </c>
      <c r="AQ104" s="331">
        <f>+AQ169</f>
        <v>0</v>
      </c>
      <c r="AR104" s="331">
        <f>+IF($F$6=0,AR169,0)</f>
        <v>0</v>
      </c>
      <c r="AS104" s="331">
        <f>+IF($F$6=0,AS169,IF($F$6=30,AS169,0))</f>
        <v>0</v>
      </c>
      <c r="AT104" s="331">
        <f>+IF($F$6=0,AT169,IF($F$6=30,0,IF($F$6=60,AT169,0)))</f>
        <v>0</v>
      </c>
      <c r="AU104" s="331">
        <f>+IF($F$6=0,AU169,IF($F$6=30,AU169,0))</f>
        <v>0</v>
      </c>
      <c r="AV104" s="331">
        <f>+IF($F$6=0,AV169,0)</f>
        <v>0</v>
      </c>
      <c r="AW104" s="331">
        <f>+AW169</f>
        <v>0</v>
      </c>
      <c r="AX104" s="331">
        <f>+IF($F$6=0,AX169,0)</f>
        <v>0</v>
      </c>
      <c r="AY104" s="331">
        <f>+IF($F$6=0,AY169,IF($F$6=30,AY169,0))</f>
        <v>0</v>
      </c>
      <c r="AZ104" s="331">
        <f>+IF($F$6=0,AZ169,IF($F$6=30,0,IF($F$6=60,AZ169,0)))</f>
        <v>0</v>
      </c>
      <c r="BA104" s="331">
        <f>+IF($F$6=0,BA169,IF($F$6=30,BA169,0))</f>
        <v>0</v>
      </c>
      <c r="BB104" s="331">
        <f>+IF($F$6=0,BB169,0)</f>
        <v>0</v>
      </c>
      <c r="BC104" s="331">
        <f>+BC169</f>
        <v>0</v>
      </c>
      <c r="BD104" s="331">
        <f>+IF($F$6=0,BD169,0)</f>
        <v>0</v>
      </c>
      <c r="BE104" s="331">
        <f>+IF($F$6=0,BE169,IF($F$6=30,BE169,0))</f>
        <v>0</v>
      </c>
      <c r="BF104" s="331">
        <f>+IF($F$6=0,BF169,IF($F$6=30,0,IF($F$6=60,BF169,0)))</f>
        <v>0</v>
      </c>
      <c r="BG104" s="331">
        <f>+IF($F$6=0,BG169,IF($F$6=30,BG169,0))</f>
        <v>0</v>
      </c>
      <c r="BH104" s="331">
        <f>+IF($F$6=0,BH169,0)</f>
        <v>0</v>
      </c>
      <c r="BI104" s="331">
        <f>+BI169</f>
        <v>0</v>
      </c>
      <c r="BJ104" s="331">
        <f>+IF($F$6=0,BJ169,0)</f>
        <v>0</v>
      </c>
      <c r="BK104" s="331">
        <f>+IF($F$6=0,BK169,IF($F$6=30,BK169,0))</f>
        <v>0</v>
      </c>
      <c r="BL104" s="331">
        <f>+IF($F$6=0,BL169,IF($F$6=30,0,IF($F$6=60,BL169,0)))</f>
        <v>0</v>
      </c>
      <c r="BM104" s="331">
        <f>+IF($F$6=0,BM169,IF($F$6=30,BM169,0))</f>
        <v>0</v>
      </c>
      <c r="BN104" s="331"/>
      <c r="BO104" s="331"/>
      <c r="BP104" s="331"/>
      <c r="BQ104" s="331"/>
      <c r="BR104" s="331"/>
      <c r="BS104" s="331"/>
      <c r="BT104" s="331"/>
      <c r="BU104" s="331"/>
      <c r="BV104" s="331"/>
      <c r="BW104" s="331"/>
      <c r="BX104" s="331"/>
      <c r="BY104" s="331"/>
      <c r="BZ104" s="331"/>
      <c r="CA104" s="331"/>
      <c r="CB104" s="331"/>
      <c r="CC104" s="331"/>
      <c r="CD104" s="331"/>
      <c r="CE104" s="331"/>
      <c r="CF104" s="331"/>
      <c r="CG104" s="331"/>
      <c r="CH104" s="331"/>
      <c r="CI104" s="331"/>
      <c r="CJ104" s="331"/>
      <c r="CK104" s="331"/>
      <c r="CL104" s="331"/>
    </row>
    <row r="105" spans="5:91" ht="15.75">
      <c r="E105" s="416">
        <f t="shared" si="26"/>
        <v>44272</v>
      </c>
      <c r="F105" s="331"/>
      <c r="K105" s="331"/>
      <c r="M105" s="331"/>
      <c r="Y105" s="331"/>
      <c r="Z105" s="331"/>
      <c r="AA105" s="331"/>
      <c r="AB105" s="331"/>
      <c r="AC105" s="331"/>
      <c r="AD105" s="331"/>
      <c r="AE105" s="331"/>
      <c r="AF105" s="331">
        <f>+AF170</f>
        <v>0</v>
      </c>
      <c r="AG105" s="331">
        <f>+IF($F$6=0,AG170,0)</f>
        <v>0</v>
      </c>
      <c r="AH105" s="331">
        <f>+IF($F$6=0,AH170,IF($F$6=30,AH170,0))</f>
        <v>0</v>
      </c>
      <c r="AI105" s="331">
        <f>+IF($F$6=0,AI170,IF($F$6=30,0,IF($F$6=60,AI170,0)))</f>
        <v>0</v>
      </c>
      <c r="AJ105" s="331">
        <f>+IF($F$6=0,AJ170,IF($F$6=30,AJ170,0))</f>
        <v>0</v>
      </c>
      <c r="AK105" s="331">
        <f>+IF($F$6=0,AK170,0)</f>
        <v>0</v>
      </c>
      <c r="AL105" s="331">
        <f>+AL170</f>
        <v>0</v>
      </c>
      <c r="AM105" s="331">
        <f>+IF($F$6=0,AM170,0)</f>
        <v>0</v>
      </c>
      <c r="AN105" s="331">
        <f>+IF($F$6=0,AN170,IF($F$6=30,AN170,0))</f>
        <v>0</v>
      </c>
      <c r="AO105" s="331">
        <f>+IF($F$6=0,AO170,IF($F$6=30,0,IF($F$6=60,AO170,0)))</f>
        <v>0</v>
      </c>
      <c r="AP105" s="331">
        <f>+IF($F$6=0,AP170,IF($F$6=30,AP170,0))</f>
        <v>0</v>
      </c>
      <c r="AQ105" s="331">
        <f>+IF($F$6=0,AQ170,0)</f>
        <v>0</v>
      </c>
      <c r="AR105" s="331">
        <f>+AR170</f>
        <v>0</v>
      </c>
      <c r="AS105" s="331">
        <f>+IF($F$6=0,AS170,0)</f>
        <v>0</v>
      </c>
      <c r="AT105" s="331">
        <f>+IF($F$6=0,AT170,IF($F$6=30,AT170,0))</f>
        <v>0</v>
      </c>
      <c r="AU105" s="331">
        <f>+IF($F$6=0,AU170,IF($F$6=30,0,IF($F$6=60,AU170,0)))</f>
        <v>0</v>
      </c>
      <c r="AV105" s="331">
        <f>+IF($F$6=0,AV170,IF($F$6=30,AV170,0))</f>
        <v>0</v>
      </c>
      <c r="AW105" s="331">
        <f>+IF($F$6=0,AW170,0)</f>
        <v>0</v>
      </c>
      <c r="AX105" s="331">
        <f>+AX170</f>
        <v>0</v>
      </c>
      <c r="AY105" s="331">
        <f>+IF($F$6=0,AY170,0)</f>
        <v>0</v>
      </c>
      <c r="AZ105" s="331">
        <f>+IF($F$6=0,AZ170,IF($F$6=30,AZ170,0))</f>
        <v>0</v>
      </c>
      <c r="BA105" s="331">
        <f>+IF($F$6=0,BA170,IF($F$6=30,0,IF($F$6=60,BA170,0)))</f>
        <v>0</v>
      </c>
      <c r="BB105" s="331">
        <f>+IF($F$6=0,BB170,IF($F$6=30,BB170,0))</f>
        <v>0</v>
      </c>
      <c r="BC105" s="331">
        <f>+IF($F$6=0,BC170,0)</f>
        <v>0</v>
      </c>
      <c r="BD105" s="331">
        <f>+BD170</f>
        <v>0</v>
      </c>
      <c r="BE105" s="331">
        <f>+IF($F$6=0,BE170,0)</f>
        <v>0</v>
      </c>
      <c r="BF105" s="331">
        <f>+IF($F$6=0,BF170,IF($F$6=30,BF170,0))</f>
        <v>0</v>
      </c>
      <c r="BG105" s="331">
        <f>+IF($F$6=0,BG170,IF($F$6=30,0,IF($F$6=60,BG170,0)))</f>
        <v>0</v>
      </c>
      <c r="BH105" s="331">
        <f>+IF($F$6=0,BH170,IF($F$6=30,BH170,0))</f>
        <v>0</v>
      </c>
      <c r="BI105" s="331">
        <f>+IF($F$6=0,BI170,0)</f>
        <v>0</v>
      </c>
      <c r="BJ105" s="331">
        <f>+BJ170</f>
        <v>0</v>
      </c>
      <c r="BK105" s="331">
        <f>+IF($F$6=0,BK170,0)</f>
        <v>0</v>
      </c>
      <c r="BL105" s="331">
        <f>+IF($F$6=0,BL170,IF($F$6=30,BL170,0))</f>
        <v>0</v>
      </c>
      <c r="BM105" s="331">
        <f>+IF($F$6=0,BM170,IF($F$6=30,0,IF($F$6=60,BM170,0)))</f>
        <v>0</v>
      </c>
      <c r="BN105" s="331"/>
      <c r="BO105" s="331"/>
      <c r="BP105" s="331"/>
      <c r="BQ105" s="331"/>
      <c r="BR105" s="331"/>
      <c r="BS105" s="331"/>
      <c r="BT105" s="331"/>
      <c r="BU105" s="331"/>
      <c r="BV105" s="331"/>
      <c r="BW105" s="331"/>
      <c r="BX105" s="331"/>
      <c r="BY105" s="331"/>
      <c r="BZ105" s="331"/>
      <c r="CA105" s="331"/>
      <c r="CB105" s="331"/>
      <c r="CC105" s="331"/>
      <c r="CD105" s="331"/>
      <c r="CE105" s="331"/>
      <c r="CF105" s="331"/>
      <c r="CG105" s="331"/>
      <c r="CH105" s="331"/>
      <c r="CI105" s="331"/>
      <c r="CJ105" s="331"/>
      <c r="CK105" s="331"/>
      <c r="CL105" s="331"/>
      <c r="CM105" s="331"/>
    </row>
    <row r="106" spans="5:92" ht="15.75">
      <c r="E106" s="416">
        <f t="shared" si="26"/>
        <v>44303</v>
      </c>
      <c r="F106" s="331"/>
      <c r="K106" s="331"/>
      <c r="M106" s="331"/>
      <c r="Y106" s="331"/>
      <c r="Z106" s="331"/>
      <c r="AA106" s="331"/>
      <c r="AB106" s="331"/>
      <c r="AC106" s="331"/>
      <c r="AD106" s="331"/>
      <c r="AE106" s="331"/>
      <c r="AF106" s="331"/>
      <c r="AG106" s="331">
        <f>+AG171</f>
        <v>0</v>
      </c>
      <c r="AH106" s="331">
        <f>+IF($F$6=0,AH171,0)</f>
        <v>0</v>
      </c>
      <c r="AI106" s="331">
        <f>+IF($F$6=0,AI171,IF($F$6=30,AI171,0))</f>
        <v>0</v>
      </c>
      <c r="AJ106" s="331">
        <f>+IF($F$6=0,AJ171,IF($F$6=30,0,IF($F$6=60,AJ171,0)))</f>
        <v>0</v>
      </c>
      <c r="AK106" s="331">
        <f>+IF($F$6=0,AK171,IF($F$6=30,AK171,0))</f>
        <v>0</v>
      </c>
      <c r="AL106" s="331">
        <f>+IF($F$6=0,AL171,0)</f>
        <v>0</v>
      </c>
      <c r="AM106" s="331">
        <f>+AM171</f>
        <v>0</v>
      </c>
      <c r="AN106" s="331">
        <f>+IF($F$6=0,AN171,0)</f>
        <v>0</v>
      </c>
      <c r="AO106" s="331">
        <f>+IF($F$6=0,AO171,IF($F$6=30,AO171,0))</f>
        <v>0</v>
      </c>
      <c r="AP106" s="331">
        <f>+IF($F$6=0,AP171,IF($F$6=30,0,IF($F$6=60,AP171,0)))</f>
        <v>0</v>
      </c>
      <c r="AQ106" s="331">
        <f>+IF($F$6=0,AQ171,IF($F$6=30,AQ171,0))</f>
        <v>0</v>
      </c>
      <c r="AR106" s="331">
        <f>+IF($F$6=0,AR171,0)</f>
        <v>0</v>
      </c>
      <c r="AS106" s="331">
        <f>+AS171</f>
        <v>0</v>
      </c>
      <c r="AT106" s="331">
        <f>+IF($F$6=0,AT171,0)</f>
        <v>0</v>
      </c>
      <c r="AU106" s="331">
        <f>+IF($F$6=0,AU171,IF($F$6=30,AU171,0))</f>
        <v>0</v>
      </c>
      <c r="AV106" s="331">
        <f>+IF($F$6=0,AV171,IF($F$6=30,0,IF($F$6=60,AV171,0)))</f>
        <v>0</v>
      </c>
      <c r="AW106" s="331">
        <f>+IF($F$6=0,AW171,IF($F$6=30,AW171,0))</f>
        <v>0</v>
      </c>
      <c r="AX106" s="331">
        <f>+IF($F$6=0,AX171,0)</f>
        <v>0</v>
      </c>
      <c r="AY106" s="331">
        <f>+AY171</f>
        <v>0</v>
      </c>
      <c r="AZ106" s="331">
        <f>+IF($F$6=0,AZ171,0)</f>
        <v>0</v>
      </c>
      <c r="BA106" s="331">
        <f>+IF($F$6=0,BA171,IF($F$6=30,BA171,0))</f>
        <v>0</v>
      </c>
      <c r="BB106" s="331">
        <f>+IF($F$6=0,BB171,IF($F$6=30,0,IF($F$6=60,BB171,0)))</f>
        <v>0</v>
      </c>
      <c r="BC106" s="331">
        <f>+IF($F$6=0,BC171,IF($F$6=30,BC171,0))</f>
        <v>0</v>
      </c>
      <c r="BD106" s="331">
        <f>+IF($F$6=0,BD171,0)</f>
        <v>0</v>
      </c>
      <c r="BE106" s="331">
        <f>+BE171</f>
        <v>0</v>
      </c>
      <c r="BF106" s="331">
        <f>+IF($F$6=0,BF171,0)</f>
        <v>0</v>
      </c>
      <c r="BG106" s="331">
        <f>+IF($F$6=0,BG171,IF($F$6=30,BG171,0))</f>
        <v>0</v>
      </c>
      <c r="BH106" s="331">
        <f>+IF($F$6=0,BH171,IF($F$6=30,0,IF($F$6=60,BH171,0)))</f>
        <v>0</v>
      </c>
      <c r="BI106" s="331">
        <f>+IF($F$6=0,BI171,IF($F$6=30,BI171,0))</f>
        <v>0</v>
      </c>
      <c r="BJ106" s="331">
        <f>+IF($F$6=0,BJ171,0)</f>
        <v>0</v>
      </c>
      <c r="BK106" s="331">
        <f>+BK171</f>
        <v>0</v>
      </c>
      <c r="BL106" s="331">
        <f>+IF($F$6=0,BL171,0)</f>
        <v>0</v>
      </c>
      <c r="BM106" s="331">
        <f>+IF($F$6=0,BM171,IF($F$6=30,BM171,0))</f>
        <v>0</v>
      </c>
      <c r="BN106" s="331"/>
      <c r="BO106" s="331"/>
      <c r="BP106" s="331"/>
      <c r="BQ106" s="331"/>
      <c r="BR106" s="331"/>
      <c r="BS106" s="331"/>
      <c r="BT106" s="331"/>
      <c r="BU106" s="331"/>
      <c r="BV106" s="331"/>
      <c r="BW106" s="331"/>
      <c r="BX106" s="331"/>
      <c r="BY106" s="331"/>
      <c r="BZ106" s="331"/>
      <c r="CA106" s="331"/>
      <c r="CB106" s="331"/>
      <c r="CC106" s="331"/>
      <c r="CD106" s="331"/>
      <c r="CE106" s="331"/>
      <c r="CF106" s="331"/>
      <c r="CG106" s="331"/>
      <c r="CH106" s="331"/>
      <c r="CI106" s="331"/>
      <c r="CJ106" s="331"/>
      <c r="CK106" s="331"/>
      <c r="CL106" s="331"/>
      <c r="CM106" s="331"/>
      <c r="CN106" s="331"/>
    </row>
    <row r="107" spans="5:93" ht="15.75">
      <c r="E107" s="416">
        <f t="shared" si="26"/>
        <v>44334</v>
      </c>
      <c r="F107" s="331"/>
      <c r="K107" s="331"/>
      <c r="M107" s="331"/>
      <c r="Y107" s="331"/>
      <c r="Z107" s="331"/>
      <c r="AA107" s="331"/>
      <c r="AB107" s="331"/>
      <c r="AC107" s="331"/>
      <c r="AD107" s="331"/>
      <c r="AE107" s="331"/>
      <c r="AF107" s="331"/>
      <c r="AG107" s="331"/>
      <c r="AH107" s="331">
        <f>+AH172</f>
        <v>0</v>
      </c>
      <c r="AI107" s="331">
        <f>+IF($F$6=0,AI172,0)</f>
        <v>0</v>
      </c>
      <c r="AJ107" s="331">
        <f>+IF($F$6=0,AJ172,IF($F$6=30,AJ172,0))</f>
        <v>0</v>
      </c>
      <c r="AK107" s="331">
        <f>+IF($F$6=0,AK172,IF($F$6=30,0,IF($F$6=60,AK172,0)))</f>
        <v>0</v>
      </c>
      <c r="AL107" s="331">
        <f>+IF($F$6=0,AL172,IF($F$6=30,AL172,0))</f>
        <v>0</v>
      </c>
      <c r="AM107" s="331">
        <f>+IF($F$6=0,AM172,0)</f>
        <v>0</v>
      </c>
      <c r="AN107" s="331">
        <f>+AN172</f>
        <v>0</v>
      </c>
      <c r="AO107" s="331">
        <f>+IF($F$6=0,AO172,0)</f>
        <v>0</v>
      </c>
      <c r="AP107" s="331">
        <f>+IF($F$6=0,AP172,IF($F$6=30,AP172,0))</f>
        <v>0</v>
      </c>
      <c r="AQ107" s="331">
        <f>+IF($F$6=0,AQ172,IF($F$6=30,0,IF($F$6=60,AQ172,0)))</f>
        <v>0</v>
      </c>
      <c r="AR107" s="331">
        <f>+IF($F$6=0,AR172,IF($F$6=30,AR172,0))</f>
        <v>0</v>
      </c>
      <c r="AS107" s="331">
        <f>+IF($F$6=0,AS172,0)</f>
        <v>0</v>
      </c>
      <c r="AT107" s="331">
        <f>+AT172</f>
        <v>0</v>
      </c>
      <c r="AU107" s="331">
        <f>+IF($F$6=0,AU172,0)</f>
        <v>0</v>
      </c>
      <c r="AV107" s="331">
        <f>+IF($F$6=0,AV172,IF($F$6=30,AV172,0))</f>
        <v>0</v>
      </c>
      <c r="AW107" s="331">
        <f>+IF($F$6=0,AW172,IF($F$6=30,0,IF($F$6=60,AW172,0)))</f>
        <v>0</v>
      </c>
      <c r="AX107" s="331">
        <f>+IF($F$6=0,AX172,IF($F$6=30,AX172,0))</f>
        <v>0</v>
      </c>
      <c r="AY107" s="331">
        <f>+IF($F$6=0,AY172,0)</f>
        <v>0</v>
      </c>
      <c r="AZ107" s="331">
        <f>+AZ172</f>
        <v>0</v>
      </c>
      <c r="BA107" s="331">
        <f>+IF($F$6=0,BA172,0)</f>
        <v>0</v>
      </c>
      <c r="BB107" s="331">
        <f>+IF($F$6=0,BB172,IF($F$6=30,BB172,0))</f>
        <v>0</v>
      </c>
      <c r="BC107" s="331">
        <f>+IF($F$6=0,BC172,IF($F$6=30,0,IF($F$6=60,BC172,0)))</f>
        <v>0</v>
      </c>
      <c r="BD107" s="331">
        <f>+IF($F$6=0,BD172,IF($F$6=30,BD172,0))</f>
        <v>0</v>
      </c>
      <c r="BE107" s="331">
        <f>+IF($F$6=0,BE172,0)</f>
        <v>0</v>
      </c>
      <c r="BF107" s="331">
        <f>+BF172</f>
        <v>0</v>
      </c>
      <c r="BG107" s="331">
        <f>+IF($F$6=0,BG172,0)</f>
        <v>0</v>
      </c>
      <c r="BH107" s="331">
        <f>+IF($F$6=0,BH172,IF($F$6=30,BH172,0))</f>
        <v>0</v>
      </c>
      <c r="BI107" s="331">
        <f>+IF($F$6=0,BI172,IF($F$6=30,0,IF($F$6=60,BI172,0)))</f>
        <v>0</v>
      </c>
      <c r="BJ107" s="331">
        <f>+IF($F$6=0,BJ172,IF($F$6=30,BJ172,0))</f>
        <v>0</v>
      </c>
      <c r="BK107" s="331">
        <f>+IF($F$6=0,BK172,0)</f>
        <v>0</v>
      </c>
      <c r="BL107" s="331">
        <f>+BL172</f>
        <v>0</v>
      </c>
      <c r="BM107" s="331">
        <f>+IF($F$6=0,BM172,0)</f>
        <v>0</v>
      </c>
      <c r="BN107" s="331"/>
      <c r="BO107" s="331"/>
      <c r="BP107" s="331"/>
      <c r="BQ107" s="331"/>
      <c r="BR107" s="331"/>
      <c r="BS107" s="331"/>
      <c r="BT107" s="331"/>
      <c r="BU107" s="331"/>
      <c r="BV107" s="331"/>
      <c r="BW107" s="331"/>
      <c r="BX107" s="331"/>
      <c r="BY107" s="331"/>
      <c r="BZ107" s="331"/>
      <c r="CA107" s="331"/>
      <c r="CB107" s="331"/>
      <c r="CC107" s="331"/>
      <c r="CD107" s="331"/>
      <c r="CE107" s="331"/>
      <c r="CF107" s="331"/>
      <c r="CG107" s="331"/>
      <c r="CH107" s="331"/>
      <c r="CI107" s="331"/>
      <c r="CJ107" s="331"/>
      <c r="CK107" s="331"/>
      <c r="CL107" s="331"/>
      <c r="CM107" s="331"/>
      <c r="CN107" s="331"/>
      <c r="CO107" s="331"/>
    </row>
    <row r="108" spans="5:94" ht="15.75">
      <c r="E108" s="416">
        <f t="shared" si="26"/>
        <v>44365</v>
      </c>
      <c r="F108" s="331"/>
      <c r="K108" s="331"/>
      <c r="M108" s="331"/>
      <c r="Y108" s="331"/>
      <c r="Z108" s="331"/>
      <c r="AA108" s="331"/>
      <c r="AB108" s="331"/>
      <c r="AC108" s="331"/>
      <c r="AD108" s="331"/>
      <c r="AE108" s="331"/>
      <c r="AF108" s="331"/>
      <c r="AG108" s="331"/>
      <c r="AH108" s="331"/>
      <c r="AI108" s="331">
        <f>+AI173</f>
        <v>0</v>
      </c>
      <c r="AJ108" s="331">
        <f>+IF($F$6=0,AJ173,0)</f>
        <v>0</v>
      </c>
      <c r="AK108" s="331">
        <f>+IF($F$6=0,AK173,IF($F$6=30,AK173,0))</f>
        <v>0</v>
      </c>
      <c r="AL108" s="331">
        <f>+IF($F$6=0,AL173,IF($F$6=30,0,IF($F$6=60,AL173,0)))</f>
        <v>0</v>
      </c>
      <c r="AM108" s="331">
        <f>+IF($F$6=0,AM173,IF($F$6=30,AM173,0))</f>
        <v>0</v>
      </c>
      <c r="AN108" s="331">
        <f>+IF($F$6=0,AN173,0)</f>
        <v>0</v>
      </c>
      <c r="AO108" s="331">
        <f>+AO173</f>
        <v>0</v>
      </c>
      <c r="AP108" s="331">
        <f>+IF($F$6=0,AP173,0)</f>
        <v>0</v>
      </c>
      <c r="AQ108" s="331">
        <f>+IF($F$6=0,AQ173,IF($F$6=30,AQ173,0))</f>
        <v>0</v>
      </c>
      <c r="AR108" s="331">
        <f>+IF($F$6=0,AR173,IF($F$6=30,0,IF($F$6=60,AR173,0)))</f>
        <v>0</v>
      </c>
      <c r="AS108" s="331">
        <f>+IF($F$6=0,AS173,IF($F$6=30,AS173,0))</f>
        <v>0</v>
      </c>
      <c r="AT108" s="331">
        <f>+IF($F$6=0,AT173,0)</f>
        <v>0</v>
      </c>
      <c r="AU108" s="331">
        <f>+AU173</f>
        <v>0</v>
      </c>
      <c r="AV108" s="331">
        <f>+IF($F$6=0,AV173,0)</f>
        <v>0</v>
      </c>
      <c r="AW108" s="331">
        <f>+IF($F$6=0,AW173,IF($F$6=30,AW173,0))</f>
        <v>0</v>
      </c>
      <c r="AX108" s="331">
        <f>+IF($F$6=0,AX173,IF($F$6=30,0,IF($F$6=60,AX173,0)))</f>
        <v>0</v>
      </c>
      <c r="AY108" s="331">
        <f>+IF($F$6=0,AY173,IF($F$6=30,AY173,0))</f>
        <v>0</v>
      </c>
      <c r="AZ108" s="331">
        <f>+IF($F$6=0,AZ173,0)</f>
        <v>0</v>
      </c>
      <c r="BA108" s="331">
        <f>+BA173</f>
        <v>0</v>
      </c>
      <c r="BB108" s="331">
        <f>+IF($F$6=0,BB173,0)</f>
        <v>0</v>
      </c>
      <c r="BC108" s="331">
        <f>+IF($F$6=0,BC173,IF($F$6=30,BC173,0))</f>
        <v>0</v>
      </c>
      <c r="BD108" s="331">
        <f>+IF($F$6=0,BD173,IF($F$6=30,0,IF($F$6=60,BD173,0)))</f>
        <v>0</v>
      </c>
      <c r="BE108" s="331">
        <f>+IF($F$6=0,BE173,IF($F$6=30,BE173,0))</f>
        <v>0</v>
      </c>
      <c r="BF108" s="331">
        <f>+IF($F$6=0,BF173,0)</f>
        <v>0</v>
      </c>
      <c r="BG108" s="331">
        <f>+BG173</f>
        <v>0</v>
      </c>
      <c r="BH108" s="331">
        <f>+IF($F$6=0,BH173,0)</f>
        <v>0</v>
      </c>
      <c r="BI108" s="331">
        <f>+IF($F$6=0,BI173,IF($F$6=30,BI173,0))</f>
        <v>0</v>
      </c>
      <c r="BJ108" s="331">
        <f>+IF($F$6=0,BJ173,IF($F$6=30,0,IF($F$6=60,BJ173,0)))</f>
        <v>0</v>
      </c>
      <c r="BK108" s="331">
        <f>+IF($F$6=0,BK173,IF($F$6=30,BK173,0))</f>
        <v>0</v>
      </c>
      <c r="BL108" s="331">
        <f>+IF($F$6=0,BL173,0)</f>
        <v>0</v>
      </c>
      <c r="BM108" s="331">
        <f>+BM173</f>
        <v>0</v>
      </c>
      <c r="BN108" s="331"/>
      <c r="BO108" s="331"/>
      <c r="BP108" s="331"/>
      <c r="BQ108" s="331"/>
      <c r="BR108" s="331"/>
      <c r="BS108" s="331"/>
      <c r="BT108" s="331"/>
      <c r="BU108" s="331"/>
      <c r="BV108" s="331"/>
      <c r="BW108" s="331"/>
      <c r="BX108" s="331"/>
      <c r="BY108" s="331"/>
      <c r="BZ108" s="331"/>
      <c r="CA108" s="331"/>
      <c r="CB108" s="331"/>
      <c r="CC108" s="331"/>
      <c r="CD108" s="331"/>
      <c r="CE108" s="331"/>
      <c r="CF108" s="331"/>
      <c r="CG108" s="331"/>
      <c r="CH108" s="331"/>
      <c r="CI108" s="331"/>
      <c r="CJ108" s="331"/>
      <c r="CK108" s="331"/>
      <c r="CL108" s="331"/>
      <c r="CM108" s="331"/>
      <c r="CN108" s="331"/>
      <c r="CO108" s="331"/>
      <c r="CP108" s="331"/>
    </row>
    <row r="109" spans="5:95" ht="15.75">
      <c r="E109" s="416">
        <f t="shared" si="26"/>
        <v>44396</v>
      </c>
      <c r="F109" s="331"/>
      <c r="K109" s="331"/>
      <c r="M109" s="331"/>
      <c r="Y109" s="331"/>
      <c r="Z109" s="331"/>
      <c r="AA109" s="331"/>
      <c r="AB109" s="331"/>
      <c r="AC109" s="331"/>
      <c r="AD109" s="331"/>
      <c r="AE109" s="331"/>
      <c r="AF109" s="331"/>
      <c r="AG109" s="331"/>
      <c r="AH109" s="331"/>
      <c r="AI109" s="331"/>
      <c r="AJ109" s="331">
        <f>+AJ174</f>
        <v>0</v>
      </c>
      <c r="AK109" s="331">
        <f>+IF($F$6=0,AK174,0)</f>
        <v>0</v>
      </c>
      <c r="AL109" s="331">
        <f>+IF($F$6=0,AL174,IF($F$6=30,AL174,0))</f>
        <v>0</v>
      </c>
      <c r="AM109" s="331">
        <f>+IF($F$6=0,AM174,IF($F$6=30,0,IF($F$6=60,AM174,0)))</f>
        <v>0</v>
      </c>
      <c r="AN109" s="331">
        <f>+IF($F$6=0,AN174,IF($F$6=30,AN174,0))</f>
        <v>0</v>
      </c>
      <c r="AO109" s="331">
        <f>+IF($F$6=0,AO174,0)</f>
        <v>0</v>
      </c>
      <c r="AP109" s="331">
        <f>+AP174</f>
        <v>0</v>
      </c>
      <c r="AQ109" s="331">
        <f>+IF($F$6=0,AQ174,0)</f>
        <v>0</v>
      </c>
      <c r="AR109" s="331">
        <f>+IF($F$6=0,AR174,IF($F$6=30,AR174,0))</f>
        <v>0</v>
      </c>
      <c r="AS109" s="331">
        <f>+IF($F$6=0,AS174,IF($F$6=30,0,IF($F$6=60,AS174,0)))</f>
        <v>0</v>
      </c>
      <c r="AT109" s="331">
        <f>+IF($F$6=0,AT174,IF($F$6=30,AT174,0))</f>
        <v>0</v>
      </c>
      <c r="AU109" s="331">
        <f>+IF($F$6=0,AU174,0)</f>
        <v>0</v>
      </c>
      <c r="AV109" s="331">
        <f>+AV174</f>
        <v>0</v>
      </c>
      <c r="AW109" s="331">
        <f>+IF($F$6=0,AW174,0)</f>
        <v>0</v>
      </c>
      <c r="AX109" s="331">
        <f>+IF($F$6=0,AX174,IF($F$6=30,AX174,0))</f>
        <v>0</v>
      </c>
      <c r="AY109" s="331">
        <f>+IF($F$6=0,AY174,IF($F$6=30,0,IF($F$6=60,AY174,0)))</f>
        <v>0</v>
      </c>
      <c r="AZ109" s="331">
        <f>+IF($F$6=0,AZ174,IF($F$6=30,AZ174,0))</f>
        <v>0</v>
      </c>
      <c r="BA109" s="331">
        <f>+IF($F$6=0,BA174,0)</f>
        <v>0</v>
      </c>
      <c r="BB109" s="331">
        <f>+BB174</f>
        <v>0</v>
      </c>
      <c r="BC109" s="331">
        <f>+IF($F$6=0,BC174,0)</f>
        <v>0</v>
      </c>
      <c r="BD109" s="331">
        <f>+IF($F$6=0,BD174,IF($F$6=30,BD174,0))</f>
        <v>0</v>
      </c>
      <c r="BE109" s="331">
        <f>+IF($F$6=0,BE174,IF($F$6=30,0,IF($F$6=60,BE174,0)))</f>
        <v>0</v>
      </c>
      <c r="BF109" s="331">
        <f>+IF($F$6=0,BF174,IF($F$6=30,BF174,0))</f>
        <v>0</v>
      </c>
      <c r="BG109" s="331">
        <f>+IF($F$6=0,BG174,0)</f>
        <v>0</v>
      </c>
      <c r="BH109" s="331">
        <f>+BH174</f>
        <v>0</v>
      </c>
      <c r="BI109" s="331">
        <f>+IF($F$6=0,BI174,0)</f>
        <v>0</v>
      </c>
      <c r="BJ109" s="331">
        <f>+IF($F$6=0,BJ174,IF($F$6=30,BJ174,0))</f>
        <v>0</v>
      </c>
      <c r="BK109" s="331">
        <f>+IF($F$6=0,BK174,IF($F$6=30,0,IF($F$6=60,BK174,0)))</f>
        <v>0</v>
      </c>
      <c r="BL109" s="331">
        <f>+IF($F$6=0,BL174,IF($F$6=30,BL174,0))</f>
        <v>0</v>
      </c>
      <c r="BM109" s="331">
        <f>+IF($F$6=0,BM174,0)</f>
        <v>0</v>
      </c>
      <c r="BN109" s="331"/>
      <c r="BO109" s="331"/>
      <c r="BP109" s="331"/>
      <c r="BQ109" s="331"/>
      <c r="BR109" s="331"/>
      <c r="BS109" s="331"/>
      <c r="BT109" s="331"/>
      <c r="BU109" s="331"/>
      <c r="BV109" s="331"/>
      <c r="BW109" s="331"/>
      <c r="BX109" s="331"/>
      <c r="BY109" s="331"/>
      <c r="BZ109" s="331"/>
      <c r="CA109" s="331"/>
      <c r="CB109" s="331"/>
      <c r="CC109" s="331"/>
      <c r="CD109" s="331"/>
      <c r="CE109" s="331"/>
      <c r="CF109" s="331"/>
      <c r="CG109" s="331"/>
      <c r="CH109" s="331"/>
      <c r="CI109" s="331"/>
      <c r="CJ109" s="331"/>
      <c r="CK109" s="331"/>
      <c r="CL109" s="331"/>
      <c r="CM109" s="331"/>
      <c r="CN109" s="331"/>
      <c r="CO109" s="331"/>
      <c r="CP109" s="331"/>
      <c r="CQ109" s="331"/>
    </row>
    <row r="110" spans="5:96" ht="15.75">
      <c r="E110" s="416">
        <f t="shared" si="26"/>
        <v>44427</v>
      </c>
      <c r="F110" s="331"/>
      <c r="K110" s="331"/>
      <c r="M110" s="331"/>
      <c r="Y110" s="331"/>
      <c r="Z110" s="331"/>
      <c r="AA110" s="331"/>
      <c r="AB110" s="331"/>
      <c r="AC110" s="331"/>
      <c r="AD110" s="331"/>
      <c r="AE110" s="331"/>
      <c r="AF110" s="331"/>
      <c r="AG110" s="331"/>
      <c r="AH110" s="331"/>
      <c r="AI110" s="331"/>
      <c r="AJ110" s="331"/>
      <c r="AK110" s="331">
        <f>+AK175</f>
        <v>0</v>
      </c>
      <c r="AL110" s="331">
        <f>+IF($F$6=0,AL175,0)</f>
        <v>0</v>
      </c>
      <c r="AM110" s="331">
        <f>+IF($F$6=0,AM175,IF($F$6=30,AM175,0))</f>
        <v>0</v>
      </c>
      <c r="AN110" s="331">
        <f>+IF($F$6=0,AN175,IF($F$6=30,0,IF($F$6=60,AN175,0)))</f>
        <v>0</v>
      </c>
      <c r="AO110" s="331">
        <f>+IF($F$6=0,AO175,IF($F$6=30,AO175,0))</f>
        <v>0</v>
      </c>
      <c r="AP110" s="331">
        <f>+IF($F$6=0,AP175,0)</f>
        <v>0</v>
      </c>
      <c r="AQ110" s="331">
        <f>+AQ175</f>
        <v>0</v>
      </c>
      <c r="AR110" s="331">
        <f>+IF($F$6=0,AR175,0)</f>
        <v>0</v>
      </c>
      <c r="AS110" s="331">
        <f>+IF($F$6=0,AS175,IF($F$6=30,AS175,0))</f>
        <v>0</v>
      </c>
      <c r="AT110" s="331">
        <f>+IF($F$6=0,AT175,IF($F$6=30,0,IF($F$6=60,AT175,0)))</f>
        <v>0</v>
      </c>
      <c r="AU110" s="331">
        <f>+IF($F$6=0,AU175,IF($F$6=30,AU175,0))</f>
        <v>0</v>
      </c>
      <c r="AV110" s="331">
        <f>+IF($F$6=0,AV175,0)</f>
        <v>0</v>
      </c>
      <c r="AW110" s="331">
        <f>+AW175</f>
        <v>0</v>
      </c>
      <c r="AX110" s="331">
        <f>+IF($F$6=0,AX175,0)</f>
        <v>0</v>
      </c>
      <c r="AY110" s="331">
        <f>+IF($F$6=0,AY175,IF($F$6=30,AY175,0))</f>
        <v>0</v>
      </c>
      <c r="AZ110" s="331">
        <f>+IF($F$6=0,AZ175,IF($F$6=30,0,IF($F$6=60,AZ175,0)))</f>
        <v>0</v>
      </c>
      <c r="BA110" s="331">
        <f>+IF($F$6=0,BA175,IF($F$6=30,BA175,0))</f>
        <v>0</v>
      </c>
      <c r="BB110" s="331">
        <f>+IF($F$6=0,BB175,0)</f>
        <v>0</v>
      </c>
      <c r="BC110" s="331">
        <f>+BC175</f>
        <v>0</v>
      </c>
      <c r="BD110" s="331">
        <f>+IF($F$6=0,BD175,0)</f>
        <v>0</v>
      </c>
      <c r="BE110" s="331">
        <f>+IF($F$6=0,BE175,IF($F$6=30,BE175,0))</f>
        <v>0</v>
      </c>
      <c r="BF110" s="331">
        <f>+IF($F$6=0,BF175,IF($F$6=30,0,IF($F$6=60,BF175,0)))</f>
        <v>0</v>
      </c>
      <c r="BG110" s="331">
        <f>+IF($F$6=0,BG175,IF($F$6=30,BG175,0))</f>
        <v>0</v>
      </c>
      <c r="BH110" s="331">
        <f>+IF($F$6=0,BH175,0)</f>
        <v>0</v>
      </c>
      <c r="BI110" s="331">
        <f>+BI175</f>
        <v>0</v>
      </c>
      <c r="BJ110" s="331">
        <f>+IF($F$6=0,BJ175,0)</f>
        <v>0</v>
      </c>
      <c r="BK110" s="331">
        <f>+IF($F$6=0,BK175,IF($F$6=30,BK175,0))</f>
        <v>0</v>
      </c>
      <c r="BL110" s="331">
        <f>+IF($F$6=0,BL175,IF($F$6=30,0,IF($F$6=60,BL175,0)))</f>
        <v>0</v>
      </c>
      <c r="BM110" s="331">
        <f>+IF($F$6=0,BM175,IF($F$6=30,BM175,0))</f>
        <v>0</v>
      </c>
      <c r="BN110" s="331"/>
      <c r="BO110" s="331"/>
      <c r="BP110" s="331"/>
      <c r="BQ110" s="331"/>
      <c r="BR110" s="331"/>
      <c r="BS110" s="331"/>
      <c r="BT110" s="331"/>
      <c r="BU110" s="331"/>
      <c r="BV110" s="331"/>
      <c r="BW110" s="331"/>
      <c r="BX110" s="331"/>
      <c r="BY110" s="331"/>
      <c r="BZ110" s="331"/>
      <c r="CA110" s="331"/>
      <c r="CB110" s="331"/>
      <c r="CC110" s="331"/>
      <c r="CD110" s="331"/>
      <c r="CE110" s="331"/>
      <c r="CF110" s="331"/>
      <c r="CG110" s="331"/>
      <c r="CH110" s="331"/>
      <c r="CI110" s="331"/>
      <c r="CJ110" s="331"/>
      <c r="CK110" s="331"/>
      <c r="CL110" s="331"/>
      <c r="CM110" s="331"/>
      <c r="CN110" s="331"/>
      <c r="CO110" s="331"/>
      <c r="CP110" s="331"/>
      <c r="CQ110" s="331"/>
      <c r="CR110" s="331"/>
    </row>
    <row r="111" spans="5:97" ht="15.75">
      <c r="E111" s="416">
        <f t="shared" si="26"/>
        <v>44458</v>
      </c>
      <c r="F111" s="331"/>
      <c r="K111" s="331"/>
      <c r="M111" s="331"/>
      <c r="Y111" s="331"/>
      <c r="Z111" s="331"/>
      <c r="AA111" s="331"/>
      <c r="AB111" s="331"/>
      <c r="AC111" s="331"/>
      <c r="AD111" s="331"/>
      <c r="AE111" s="331"/>
      <c r="AF111" s="331"/>
      <c r="AG111" s="331"/>
      <c r="AH111" s="331"/>
      <c r="AI111" s="331"/>
      <c r="AJ111" s="331"/>
      <c r="AK111" s="331"/>
      <c r="AL111" s="331">
        <f>+AL176</f>
        <v>0</v>
      </c>
      <c r="AM111" s="331">
        <f>+IF($F$6=0,AM176,0)</f>
        <v>0</v>
      </c>
      <c r="AN111" s="331">
        <f>+IF($F$6=0,AN176,IF($F$6=30,AN176,0))</f>
        <v>0</v>
      </c>
      <c r="AO111" s="331">
        <f>+IF($F$6=0,AO176,IF($F$6=30,0,IF($F$6=60,AO176,0)))</f>
        <v>0</v>
      </c>
      <c r="AP111" s="331">
        <f>+IF($F$6=0,AP176,IF($F$6=30,AP176,0))</f>
        <v>0</v>
      </c>
      <c r="AQ111" s="331">
        <f>+IF($F$6=0,AQ176,0)</f>
        <v>0</v>
      </c>
      <c r="AR111" s="331">
        <f>+AR176</f>
        <v>0</v>
      </c>
      <c r="AS111" s="331">
        <f>+IF($F$6=0,AS176,0)</f>
        <v>0</v>
      </c>
      <c r="AT111" s="331">
        <f>+IF($F$6=0,AT176,IF($F$6=30,AT176,0))</f>
        <v>0</v>
      </c>
      <c r="AU111" s="331">
        <f>+IF($F$6=0,AU176,IF($F$6=30,0,IF($F$6=60,AU176,0)))</f>
        <v>0</v>
      </c>
      <c r="AV111" s="331">
        <f>+IF($F$6=0,AV176,IF($F$6=30,AV176,0))</f>
        <v>0</v>
      </c>
      <c r="AW111" s="331">
        <f>+IF($F$6=0,AW176,0)</f>
        <v>0</v>
      </c>
      <c r="AX111" s="331">
        <f>+AX176</f>
        <v>0</v>
      </c>
      <c r="AY111" s="331">
        <f>+IF($F$6=0,AY176,0)</f>
        <v>0</v>
      </c>
      <c r="AZ111" s="331">
        <f>+IF($F$6=0,AZ176,IF($F$6=30,AZ176,0))</f>
        <v>0</v>
      </c>
      <c r="BA111" s="331">
        <f>+IF($F$6=0,BA176,IF($F$6=30,0,IF($F$6=60,BA176,0)))</f>
        <v>0</v>
      </c>
      <c r="BB111" s="331">
        <f>+IF($F$6=0,BB176,IF($F$6=30,BB176,0))</f>
        <v>0</v>
      </c>
      <c r="BC111" s="331">
        <f>+IF($F$6=0,BC176,0)</f>
        <v>0</v>
      </c>
      <c r="BD111" s="331">
        <f>+BD176</f>
        <v>0</v>
      </c>
      <c r="BE111" s="331">
        <f>+IF($F$6=0,BE176,0)</f>
        <v>0</v>
      </c>
      <c r="BF111" s="331">
        <f>+IF($F$6=0,BF176,IF($F$6=30,BF176,0))</f>
        <v>0</v>
      </c>
      <c r="BG111" s="331">
        <f>+IF($F$6=0,BG176,IF($F$6=30,0,IF($F$6=60,BG176,0)))</f>
        <v>0</v>
      </c>
      <c r="BH111" s="331">
        <f>+IF($F$6=0,BH176,IF($F$6=30,BH176,0))</f>
        <v>0</v>
      </c>
      <c r="BI111" s="331">
        <f>+IF($F$6=0,BI176,0)</f>
        <v>0</v>
      </c>
      <c r="BJ111" s="331">
        <f>+BJ176</f>
        <v>0</v>
      </c>
      <c r="BK111" s="331">
        <f>+IF($F$6=0,BK176,0)</f>
        <v>0</v>
      </c>
      <c r="BL111" s="331">
        <f>+IF($F$6=0,BL176,IF($F$6=30,BL176,0))</f>
        <v>0</v>
      </c>
      <c r="BM111" s="331">
        <f>+IF($F$6=0,BM176,IF($F$6=30,0,IF($F$6=60,BM176,0)))</f>
        <v>0</v>
      </c>
      <c r="BN111" s="331"/>
      <c r="BO111" s="331"/>
      <c r="BP111" s="331"/>
      <c r="BQ111" s="331"/>
      <c r="BR111" s="331"/>
      <c r="BS111" s="331"/>
      <c r="BT111" s="331"/>
      <c r="BU111" s="331"/>
      <c r="BV111" s="331"/>
      <c r="BW111" s="331"/>
      <c r="BX111" s="331"/>
      <c r="BY111" s="331"/>
      <c r="BZ111" s="331"/>
      <c r="CA111" s="331"/>
      <c r="CB111" s="331"/>
      <c r="CC111" s="331"/>
      <c r="CD111" s="331"/>
      <c r="CE111" s="331"/>
      <c r="CF111" s="331"/>
      <c r="CG111" s="331"/>
      <c r="CH111" s="331"/>
      <c r="CI111" s="331"/>
      <c r="CJ111" s="331"/>
      <c r="CK111" s="331"/>
      <c r="CL111" s="331"/>
      <c r="CM111" s="331"/>
      <c r="CN111" s="331"/>
      <c r="CO111" s="331"/>
      <c r="CP111" s="331"/>
      <c r="CQ111" s="331"/>
      <c r="CR111" s="331"/>
      <c r="CS111" s="331"/>
    </row>
    <row r="112" spans="5:98" ht="15.75">
      <c r="E112" s="416">
        <f t="shared" si="26"/>
        <v>44489</v>
      </c>
      <c r="F112" s="331"/>
      <c r="K112" s="331"/>
      <c r="M112" s="331"/>
      <c r="Y112" s="331"/>
      <c r="Z112" s="331"/>
      <c r="AA112" s="331"/>
      <c r="AB112" s="331"/>
      <c r="AC112" s="331"/>
      <c r="AD112" s="331"/>
      <c r="AE112" s="331"/>
      <c r="AF112" s="331"/>
      <c r="AG112" s="331"/>
      <c r="AH112" s="331"/>
      <c r="AI112" s="331"/>
      <c r="AJ112" s="331"/>
      <c r="AK112" s="331"/>
      <c r="AL112" s="331"/>
      <c r="AM112" s="331">
        <f>+AM177</f>
        <v>0</v>
      </c>
      <c r="AN112" s="331">
        <f>+IF($F$6=0,AN177,0)</f>
        <v>0</v>
      </c>
      <c r="AO112" s="331">
        <f>+IF($F$6=0,AO177,IF($F$6=30,AO177,0))</f>
        <v>0</v>
      </c>
      <c r="AP112" s="331">
        <f>+IF($F$6=0,AP177,IF($F$6=30,0,IF($F$6=60,AP177,0)))</f>
        <v>0</v>
      </c>
      <c r="AQ112" s="331">
        <f>+IF($F$6=0,AQ177,IF($F$6=30,AQ177,0))</f>
        <v>0</v>
      </c>
      <c r="AR112" s="331">
        <f>+IF($F$6=0,AR177,0)</f>
        <v>0</v>
      </c>
      <c r="AS112" s="331">
        <f>+AS177</f>
        <v>0</v>
      </c>
      <c r="AT112" s="331">
        <f>+IF($F$6=0,AT177,0)</f>
        <v>0</v>
      </c>
      <c r="AU112" s="331">
        <f>+IF($F$6=0,AU177,IF($F$6=30,AU177,0))</f>
        <v>0</v>
      </c>
      <c r="AV112" s="331">
        <f>+IF($F$6=0,AV177,IF($F$6=30,0,IF($F$6=60,AV177,0)))</f>
        <v>0</v>
      </c>
      <c r="AW112" s="331">
        <f>+IF($F$6=0,AW177,IF($F$6=30,AW177,0))</f>
        <v>0</v>
      </c>
      <c r="AX112" s="331">
        <f>+IF($F$6=0,AX177,0)</f>
        <v>0</v>
      </c>
      <c r="AY112" s="331">
        <f>+AY177</f>
        <v>0</v>
      </c>
      <c r="AZ112" s="331">
        <f>+IF($F$6=0,AZ177,0)</f>
        <v>0</v>
      </c>
      <c r="BA112" s="331">
        <f>+IF($F$6=0,BA177,IF($F$6=30,BA177,0))</f>
        <v>0</v>
      </c>
      <c r="BB112" s="331">
        <f>+IF($F$6=0,BB177,IF($F$6=30,0,IF($F$6=60,BB177,0)))</f>
        <v>0</v>
      </c>
      <c r="BC112" s="331">
        <f>+IF($F$6=0,BC177,IF($F$6=30,BC177,0))</f>
        <v>0</v>
      </c>
      <c r="BD112" s="331">
        <f>+IF($F$6=0,BD177,0)</f>
        <v>0</v>
      </c>
      <c r="BE112" s="331">
        <f>+BE177</f>
        <v>0</v>
      </c>
      <c r="BF112" s="331">
        <f>+IF($F$6=0,BF177,0)</f>
        <v>0</v>
      </c>
      <c r="BG112" s="331">
        <f>+IF($F$6=0,BG177,IF($F$6=30,BG177,0))</f>
        <v>0</v>
      </c>
      <c r="BH112" s="331">
        <f>+IF($F$6=0,BH177,IF($F$6=30,0,IF($F$6=60,BH177,0)))</f>
        <v>0</v>
      </c>
      <c r="BI112" s="331">
        <f>+IF($F$6=0,BI177,IF($F$6=30,BI177,0))</f>
        <v>0</v>
      </c>
      <c r="BJ112" s="331">
        <f>+IF($F$6=0,BJ177,0)</f>
        <v>0</v>
      </c>
      <c r="BK112" s="331">
        <f>+BK177</f>
        <v>0</v>
      </c>
      <c r="BL112" s="331">
        <f>+IF($F$6=0,BL177,0)</f>
        <v>0</v>
      </c>
      <c r="BM112" s="331">
        <f>+IF($F$6=0,BM177,IF($F$6=30,BM177,0))</f>
        <v>0</v>
      </c>
      <c r="BN112" s="331"/>
      <c r="BO112" s="331"/>
      <c r="BP112" s="331"/>
      <c r="BQ112" s="331"/>
      <c r="BR112" s="331"/>
      <c r="BS112" s="331"/>
      <c r="BT112" s="331"/>
      <c r="BU112" s="331"/>
      <c r="BV112" s="331"/>
      <c r="BW112" s="331"/>
      <c r="BX112" s="331"/>
      <c r="BY112" s="331"/>
      <c r="BZ112" s="331"/>
      <c r="CA112" s="331"/>
      <c r="CB112" s="331"/>
      <c r="CC112" s="331"/>
      <c r="CD112" s="331"/>
      <c r="CE112" s="331"/>
      <c r="CF112" s="331"/>
      <c r="CG112" s="331"/>
      <c r="CH112" s="331"/>
      <c r="CI112" s="331"/>
      <c r="CJ112" s="331"/>
      <c r="CK112" s="331"/>
      <c r="CL112" s="331"/>
      <c r="CM112" s="331"/>
      <c r="CN112" s="331"/>
      <c r="CO112" s="331"/>
      <c r="CP112" s="331"/>
      <c r="CQ112" s="331"/>
      <c r="CR112" s="331"/>
      <c r="CS112" s="331"/>
      <c r="CT112" s="331"/>
    </row>
    <row r="113" spans="5:99" ht="15.75">
      <c r="E113" s="416">
        <f t="shared" si="26"/>
        <v>44520</v>
      </c>
      <c r="F113" s="331"/>
      <c r="K113" s="331"/>
      <c r="M113" s="331"/>
      <c r="Y113" s="331"/>
      <c r="Z113" s="331"/>
      <c r="AA113" s="331"/>
      <c r="AB113" s="331"/>
      <c r="AC113" s="331"/>
      <c r="AD113" s="331"/>
      <c r="AE113" s="331"/>
      <c r="AF113" s="331"/>
      <c r="AG113" s="331"/>
      <c r="AH113" s="331"/>
      <c r="AI113" s="331"/>
      <c r="AJ113" s="331"/>
      <c r="AK113" s="331"/>
      <c r="AL113" s="331"/>
      <c r="AM113" s="331"/>
      <c r="AN113" s="331">
        <f>+AN178</f>
        <v>0</v>
      </c>
      <c r="AO113" s="331">
        <f>+IF($F$6=0,AO178,0)</f>
        <v>0</v>
      </c>
      <c r="AP113" s="331">
        <f>+IF($F$6=0,AP178,IF($F$6=30,AP178,0))</f>
        <v>0</v>
      </c>
      <c r="AQ113" s="331">
        <f>+IF($F$6=0,AQ178,IF($F$6=30,0,IF($F$6=60,AQ178,0)))</f>
        <v>0</v>
      </c>
      <c r="AR113" s="331">
        <f>+IF($F$6=0,AR178,IF($F$6=30,AR178,0))</f>
        <v>0</v>
      </c>
      <c r="AS113" s="331">
        <f>+IF($F$6=0,AS178,0)</f>
        <v>0</v>
      </c>
      <c r="AT113" s="331">
        <f>+AT178</f>
        <v>0</v>
      </c>
      <c r="AU113" s="331">
        <f>+IF($F$6=0,AU178,0)</f>
        <v>0</v>
      </c>
      <c r="AV113" s="331">
        <f>+IF($F$6=0,AV178,IF($F$6=30,AV178,0))</f>
        <v>0</v>
      </c>
      <c r="AW113" s="331">
        <f>+IF($F$6=0,AW178,IF($F$6=30,0,IF($F$6=60,AW178,0)))</f>
        <v>0</v>
      </c>
      <c r="AX113" s="331">
        <f>+IF($F$6=0,AX178,IF($F$6=30,AX178,0))</f>
        <v>0</v>
      </c>
      <c r="AY113" s="331">
        <f>+IF($F$6=0,AY178,0)</f>
        <v>0</v>
      </c>
      <c r="AZ113" s="331">
        <f>+AZ178</f>
        <v>0</v>
      </c>
      <c r="BA113" s="331">
        <f>+IF($F$6=0,BA178,0)</f>
        <v>0</v>
      </c>
      <c r="BB113" s="331">
        <f>+IF($F$6=0,BB178,IF($F$6=30,BB178,0))</f>
        <v>0</v>
      </c>
      <c r="BC113" s="331">
        <f>+IF($F$6=0,BC178,IF($F$6=30,0,IF($F$6=60,BC178,0)))</f>
        <v>0</v>
      </c>
      <c r="BD113" s="331">
        <f>+IF($F$6=0,BD178,IF($F$6=30,BD178,0))</f>
        <v>0</v>
      </c>
      <c r="BE113" s="331">
        <f>+IF($F$6=0,BE178,0)</f>
        <v>0</v>
      </c>
      <c r="BF113" s="331">
        <f>+BF178</f>
        <v>0</v>
      </c>
      <c r="BG113" s="331">
        <f>+IF($F$6=0,BG178,0)</f>
        <v>0</v>
      </c>
      <c r="BH113" s="331">
        <f>+IF($F$6=0,BH178,IF($F$6=30,BH178,0))</f>
        <v>0</v>
      </c>
      <c r="BI113" s="331">
        <f>+IF($F$6=0,BI178,IF($F$6=30,0,IF($F$6=60,BI178,0)))</f>
        <v>0</v>
      </c>
      <c r="BJ113" s="331">
        <f>+IF($F$6=0,BJ178,IF($F$6=30,BJ178,0))</f>
        <v>0</v>
      </c>
      <c r="BK113" s="331">
        <f>+IF($F$6=0,BK178,0)</f>
        <v>0</v>
      </c>
      <c r="BL113" s="331">
        <f>+BL178</f>
        <v>0</v>
      </c>
      <c r="BM113" s="331">
        <f>+IF($F$6=0,BM178,0)</f>
        <v>0</v>
      </c>
      <c r="BN113" s="331"/>
      <c r="BO113" s="331"/>
      <c r="BP113" s="331"/>
      <c r="BQ113" s="331"/>
      <c r="BR113" s="331"/>
      <c r="BS113" s="331"/>
      <c r="BT113" s="331"/>
      <c r="BU113" s="331"/>
      <c r="BV113" s="331"/>
      <c r="BW113" s="331"/>
      <c r="BX113" s="331"/>
      <c r="BY113" s="331"/>
      <c r="BZ113" s="331"/>
      <c r="CA113" s="331"/>
      <c r="CB113" s="331"/>
      <c r="CC113" s="331"/>
      <c r="CD113" s="331"/>
      <c r="CE113" s="331"/>
      <c r="CF113" s="331"/>
      <c r="CG113" s="331"/>
      <c r="CH113" s="331"/>
      <c r="CI113" s="331"/>
      <c r="CJ113" s="331"/>
      <c r="CK113" s="331"/>
      <c r="CL113" s="331"/>
      <c r="CM113" s="331"/>
      <c r="CN113" s="331"/>
      <c r="CO113" s="331"/>
      <c r="CP113" s="331"/>
      <c r="CQ113" s="331"/>
      <c r="CR113" s="331"/>
      <c r="CS113" s="331"/>
      <c r="CT113" s="331"/>
      <c r="CU113" s="331"/>
    </row>
    <row r="114" spans="5:100" ht="15.75">
      <c r="E114" s="416">
        <f t="shared" si="26"/>
        <v>44551</v>
      </c>
      <c r="F114" s="331"/>
      <c r="K114" s="331"/>
      <c r="M114" s="331"/>
      <c r="Y114" s="331"/>
      <c r="Z114" s="331"/>
      <c r="AA114" s="331"/>
      <c r="AB114" s="331"/>
      <c r="AC114" s="331"/>
      <c r="AD114" s="331"/>
      <c r="AE114" s="331"/>
      <c r="AF114" s="331"/>
      <c r="AG114" s="331"/>
      <c r="AH114" s="331"/>
      <c r="AI114" s="331"/>
      <c r="AJ114" s="331"/>
      <c r="AK114" s="331"/>
      <c r="AL114" s="331"/>
      <c r="AM114" s="331"/>
      <c r="AN114" s="331"/>
      <c r="AO114" s="331">
        <f>+AO179</f>
        <v>0</v>
      </c>
      <c r="AP114" s="331">
        <f>+IF($F$6=0,AP179,0)</f>
        <v>0</v>
      </c>
      <c r="AQ114" s="331">
        <f>+IF($F$6=0,AQ179,IF($F$6=30,AQ179,0))</f>
        <v>0</v>
      </c>
      <c r="AR114" s="331">
        <f>+IF($F$6=0,AR179,IF($F$6=30,0,IF($F$6=60,AR179,0)))</f>
        <v>0</v>
      </c>
      <c r="AS114" s="331">
        <f>+IF($F$6=0,AS179,IF($F$6=30,AS179,0))</f>
        <v>0</v>
      </c>
      <c r="AT114" s="331">
        <f>+IF($F$6=0,AT179,0)</f>
        <v>0</v>
      </c>
      <c r="AU114" s="331">
        <f>+AU179</f>
        <v>0</v>
      </c>
      <c r="AV114" s="331">
        <f>+IF($F$6=0,AV179,0)</f>
        <v>0</v>
      </c>
      <c r="AW114" s="331">
        <f>+IF($F$6=0,AW179,IF($F$6=30,AW179,0))</f>
        <v>0</v>
      </c>
      <c r="AX114" s="331">
        <f>+IF($F$6=0,AX179,IF($F$6=30,0,IF($F$6=60,AX179,0)))</f>
        <v>0</v>
      </c>
      <c r="AY114" s="331">
        <f>+IF($F$6=0,AY179,IF($F$6=30,AY179,0))</f>
        <v>0</v>
      </c>
      <c r="AZ114" s="331">
        <f>+IF($F$6=0,AZ179,0)</f>
        <v>0</v>
      </c>
      <c r="BA114" s="331">
        <f>+BA179</f>
        <v>0</v>
      </c>
      <c r="BB114" s="331">
        <f>+IF($F$6=0,BB179,0)</f>
        <v>0</v>
      </c>
      <c r="BC114" s="331">
        <f>+IF($F$6=0,BC179,IF($F$6=30,BC179,0))</f>
        <v>0</v>
      </c>
      <c r="BD114" s="331">
        <f>+IF($F$6=0,BD179,IF($F$6=30,0,IF($F$6=60,BD179,0)))</f>
        <v>0</v>
      </c>
      <c r="BE114" s="331">
        <f>+IF($F$6=0,BE179,IF($F$6=30,BE179,0))</f>
        <v>0</v>
      </c>
      <c r="BF114" s="331">
        <f>+IF($F$6=0,BF179,0)</f>
        <v>0</v>
      </c>
      <c r="BG114" s="331">
        <f>+BG179</f>
        <v>0</v>
      </c>
      <c r="BH114" s="331">
        <f>+IF($F$6=0,BH179,0)</f>
        <v>0</v>
      </c>
      <c r="BI114" s="331">
        <f>+IF($F$6=0,BI179,IF($F$6=30,BI179,0))</f>
        <v>0</v>
      </c>
      <c r="BJ114" s="331">
        <f>+IF($F$6=0,BJ179,IF($F$6=30,0,IF($F$6=60,BJ179,0)))</f>
        <v>0</v>
      </c>
      <c r="BK114" s="331">
        <f>+IF($F$6=0,BK179,IF($F$6=30,BK179,0))</f>
        <v>0</v>
      </c>
      <c r="BL114" s="331">
        <f>+IF($F$6=0,BL179,0)</f>
        <v>0</v>
      </c>
      <c r="BM114" s="331">
        <f>+BM179</f>
        <v>0</v>
      </c>
      <c r="BN114" s="331"/>
      <c r="BO114" s="331"/>
      <c r="BP114" s="331"/>
      <c r="BQ114" s="331"/>
      <c r="BR114" s="331"/>
      <c r="BS114" s="331"/>
      <c r="BT114" s="331"/>
      <c r="BU114" s="331"/>
      <c r="BV114" s="331"/>
      <c r="BW114" s="331"/>
      <c r="BX114" s="331"/>
      <c r="BY114" s="331"/>
      <c r="BZ114" s="331"/>
      <c r="CA114" s="331"/>
      <c r="CB114" s="331"/>
      <c r="CC114" s="331"/>
      <c r="CD114" s="331"/>
      <c r="CE114" s="331"/>
      <c r="CF114" s="331"/>
      <c r="CG114" s="331"/>
      <c r="CH114" s="331"/>
      <c r="CI114" s="331"/>
      <c r="CJ114" s="331"/>
      <c r="CK114" s="331"/>
      <c r="CL114" s="331"/>
      <c r="CM114" s="331"/>
      <c r="CN114" s="331"/>
      <c r="CO114" s="331"/>
      <c r="CP114" s="331"/>
      <c r="CQ114" s="331"/>
      <c r="CR114" s="331"/>
      <c r="CS114" s="331"/>
      <c r="CT114" s="331"/>
      <c r="CU114" s="331"/>
      <c r="CV114" s="331"/>
    </row>
    <row r="115" spans="5:101" ht="15.75">
      <c r="E115" s="416">
        <f t="shared" si="26"/>
        <v>44582</v>
      </c>
      <c r="F115" s="331"/>
      <c r="K115" s="331"/>
      <c r="M115" s="331"/>
      <c r="Y115" s="331"/>
      <c r="Z115" s="331"/>
      <c r="AA115" s="331"/>
      <c r="AB115" s="331"/>
      <c r="AC115" s="331"/>
      <c r="AD115" s="331"/>
      <c r="AE115" s="331"/>
      <c r="AF115" s="331"/>
      <c r="AG115" s="331"/>
      <c r="AH115" s="331"/>
      <c r="AI115" s="331"/>
      <c r="AJ115" s="331"/>
      <c r="AK115" s="331"/>
      <c r="AL115" s="331"/>
      <c r="AM115" s="331"/>
      <c r="AN115" s="331"/>
      <c r="AO115" s="331"/>
      <c r="AP115" s="331">
        <f>+AP180</f>
        <v>0</v>
      </c>
      <c r="AQ115" s="331">
        <f>+IF($F$6=0,AQ180,0)</f>
        <v>0</v>
      </c>
      <c r="AR115" s="331">
        <f>+IF($F$6=0,AR180,IF($F$6=30,AR180,0))</f>
        <v>0</v>
      </c>
      <c r="AS115" s="331">
        <f>+IF($F$6=0,AS180,IF($F$6=30,0,IF($F$6=60,AS180,0)))</f>
        <v>0</v>
      </c>
      <c r="AT115" s="331">
        <f>+IF($F$6=0,AT180,IF($F$6=30,AT180,0))</f>
        <v>0</v>
      </c>
      <c r="AU115" s="331">
        <f>+IF($F$6=0,AU180,0)</f>
        <v>0</v>
      </c>
      <c r="AV115" s="331">
        <f>+AV180</f>
        <v>0</v>
      </c>
      <c r="AW115" s="331">
        <f>+IF($F$6=0,AW180,0)</f>
        <v>0</v>
      </c>
      <c r="AX115" s="331">
        <f>+IF($F$6=0,AX180,IF($F$6=30,AX180,0))</f>
        <v>0</v>
      </c>
      <c r="AY115" s="331">
        <f>+IF($F$6=0,AY180,IF($F$6=30,0,IF($F$6=60,AY180,0)))</f>
        <v>0</v>
      </c>
      <c r="AZ115" s="331">
        <f>+IF($F$6=0,AZ180,IF($F$6=30,AZ180,0))</f>
        <v>0</v>
      </c>
      <c r="BA115" s="331">
        <f>+IF($F$6=0,BA180,0)</f>
        <v>0</v>
      </c>
      <c r="BB115" s="331">
        <f>+BB180</f>
        <v>0</v>
      </c>
      <c r="BC115" s="331">
        <f>+IF($F$6=0,BC180,0)</f>
        <v>0</v>
      </c>
      <c r="BD115" s="331">
        <f>+IF($F$6=0,BD180,IF($F$6=30,BD180,0))</f>
        <v>0</v>
      </c>
      <c r="BE115" s="331">
        <f>+IF($F$6=0,BE180,IF($F$6=30,0,IF($F$6=60,BE180,0)))</f>
        <v>0</v>
      </c>
      <c r="BF115" s="331">
        <f>+IF($F$6=0,BF180,IF($F$6=30,BF180,0))</f>
        <v>0</v>
      </c>
      <c r="BG115" s="331">
        <f>+IF($F$6=0,BG180,0)</f>
        <v>0</v>
      </c>
      <c r="BH115" s="331">
        <f>+BH180</f>
        <v>0</v>
      </c>
      <c r="BI115" s="331">
        <f>+IF($F$6=0,BI180,0)</f>
        <v>0</v>
      </c>
      <c r="BJ115" s="331">
        <f>+IF($F$6=0,BJ180,IF($F$6=30,BJ180,0))</f>
        <v>0</v>
      </c>
      <c r="BK115" s="331">
        <f>+IF($F$6=0,BK180,IF($F$6=30,0,IF($F$6=60,BK180,0)))</f>
        <v>0</v>
      </c>
      <c r="BL115" s="331">
        <f>+IF($F$6=0,BL180,IF($F$6=30,BL180,0))</f>
        <v>0</v>
      </c>
      <c r="BM115" s="331">
        <f>+IF($F$6=0,BM180,0)</f>
        <v>0</v>
      </c>
      <c r="BN115" s="331"/>
      <c r="BO115" s="331"/>
      <c r="BP115" s="331"/>
      <c r="BQ115" s="331"/>
      <c r="BR115" s="331"/>
      <c r="BS115" s="331"/>
      <c r="BT115" s="331"/>
      <c r="BU115" s="331"/>
      <c r="BV115" s="331"/>
      <c r="BW115" s="331"/>
      <c r="BX115" s="331"/>
      <c r="BY115" s="331"/>
      <c r="BZ115" s="331"/>
      <c r="CA115" s="331"/>
      <c r="CB115" s="331"/>
      <c r="CC115" s="331"/>
      <c r="CD115" s="331"/>
      <c r="CE115" s="331"/>
      <c r="CF115" s="331"/>
      <c r="CG115" s="331"/>
      <c r="CH115" s="331"/>
      <c r="CI115" s="331"/>
      <c r="CJ115" s="331"/>
      <c r="CK115" s="331"/>
      <c r="CL115" s="331"/>
      <c r="CM115" s="331"/>
      <c r="CN115" s="331"/>
      <c r="CO115" s="331"/>
      <c r="CP115" s="331"/>
      <c r="CQ115" s="331"/>
      <c r="CR115" s="331"/>
      <c r="CS115" s="331"/>
      <c r="CT115" s="331"/>
      <c r="CU115" s="331"/>
      <c r="CV115" s="331"/>
      <c r="CW115" s="331"/>
    </row>
    <row r="116" spans="5:102" ht="15.75">
      <c r="E116" s="416">
        <f t="shared" si="26"/>
        <v>44613</v>
      </c>
      <c r="F116" s="331"/>
      <c r="K116" s="331"/>
      <c r="M116" s="331"/>
      <c r="Y116" s="331"/>
      <c r="Z116" s="331"/>
      <c r="AA116" s="331"/>
      <c r="AB116" s="331"/>
      <c r="AC116" s="331"/>
      <c r="AD116" s="331"/>
      <c r="AE116" s="331"/>
      <c r="AF116" s="331"/>
      <c r="AG116" s="331"/>
      <c r="AH116" s="331"/>
      <c r="AI116" s="331"/>
      <c r="AJ116" s="331"/>
      <c r="AK116" s="331"/>
      <c r="AL116" s="331"/>
      <c r="AM116" s="331"/>
      <c r="AN116" s="331"/>
      <c r="AO116" s="331"/>
      <c r="AP116" s="331"/>
      <c r="AQ116" s="331">
        <f>+AQ181</f>
        <v>0</v>
      </c>
      <c r="AR116" s="331">
        <f>+IF($F$6=0,AR181,0)</f>
        <v>0</v>
      </c>
      <c r="AS116" s="331">
        <f>+IF($F$6=0,AS181,IF($F$6=30,AS181,0))</f>
        <v>0</v>
      </c>
      <c r="AT116" s="331">
        <f>+IF($F$6=0,AT181,IF($F$6=30,0,IF($F$6=60,AT181,0)))</f>
        <v>0</v>
      </c>
      <c r="AU116" s="331">
        <f>+IF($F$6=0,AU181,IF($F$6=30,AU181,0))</f>
        <v>0</v>
      </c>
      <c r="AV116" s="331">
        <f>+IF($F$6=0,AV181,0)</f>
        <v>0</v>
      </c>
      <c r="AW116" s="331">
        <f>+AW181</f>
        <v>0</v>
      </c>
      <c r="AX116" s="331">
        <f>+IF($F$6=0,AX181,0)</f>
        <v>0</v>
      </c>
      <c r="AY116" s="331">
        <f>+IF($F$6=0,AY181,IF($F$6=30,AY181,0))</f>
        <v>0</v>
      </c>
      <c r="AZ116" s="331">
        <f>+IF($F$6=0,AZ181,IF($F$6=30,0,IF($F$6=60,AZ181,0)))</f>
        <v>0</v>
      </c>
      <c r="BA116" s="331">
        <f>+IF($F$6=0,BA181,IF($F$6=30,BA181,0))</f>
        <v>0</v>
      </c>
      <c r="BB116" s="331">
        <f>+IF($F$6=0,BB181,0)</f>
        <v>0</v>
      </c>
      <c r="BC116" s="331">
        <f>+BC181</f>
        <v>0</v>
      </c>
      <c r="BD116" s="331">
        <f>+IF($F$6=0,BD181,0)</f>
        <v>0</v>
      </c>
      <c r="BE116" s="331">
        <f>+IF($F$6=0,BE181,IF($F$6=30,BE181,0))</f>
        <v>0</v>
      </c>
      <c r="BF116" s="331">
        <f>+IF($F$6=0,BF181,IF($F$6=30,0,IF($F$6=60,BF181,0)))</f>
        <v>0</v>
      </c>
      <c r="BG116" s="331">
        <f>+IF($F$6=0,BG181,IF($F$6=30,BG181,0))</f>
        <v>0</v>
      </c>
      <c r="BH116" s="331">
        <f>+IF($F$6=0,BH181,0)</f>
        <v>0</v>
      </c>
      <c r="BI116" s="331">
        <f>+BI181</f>
        <v>0</v>
      </c>
      <c r="BJ116" s="331">
        <f>+IF($F$6=0,BJ181,0)</f>
        <v>0</v>
      </c>
      <c r="BK116" s="331">
        <f>+IF($F$6=0,BK181,IF($F$6=30,BK181,0))</f>
        <v>0</v>
      </c>
      <c r="BL116" s="331">
        <f>+IF($F$6=0,BL181,IF($F$6=30,0,IF($F$6=60,BL181,0)))</f>
        <v>0</v>
      </c>
      <c r="BM116" s="331">
        <f>+IF($F$6=0,BM181,IF($F$6=30,BM181,0))</f>
        <v>0</v>
      </c>
      <c r="BN116" s="331"/>
      <c r="BO116" s="331"/>
      <c r="BP116" s="331"/>
      <c r="BQ116" s="331"/>
      <c r="BR116" s="331"/>
      <c r="BS116" s="331"/>
      <c r="BT116" s="331"/>
      <c r="BU116" s="331"/>
      <c r="BV116" s="331"/>
      <c r="BW116" s="331"/>
      <c r="BX116" s="331"/>
      <c r="BY116" s="331"/>
      <c r="BZ116" s="331"/>
      <c r="CA116" s="331"/>
      <c r="CB116" s="331"/>
      <c r="CC116" s="331"/>
      <c r="CD116" s="331"/>
      <c r="CE116" s="331"/>
      <c r="CF116" s="331"/>
      <c r="CG116" s="331"/>
      <c r="CH116" s="331"/>
      <c r="CI116" s="331"/>
      <c r="CJ116" s="331"/>
      <c r="CK116" s="331"/>
      <c r="CL116" s="331"/>
      <c r="CM116" s="331"/>
      <c r="CN116" s="331"/>
      <c r="CO116" s="331"/>
      <c r="CP116" s="331"/>
      <c r="CQ116" s="331"/>
      <c r="CR116" s="331"/>
      <c r="CS116" s="331"/>
      <c r="CT116" s="331"/>
      <c r="CU116" s="331"/>
      <c r="CV116" s="331"/>
      <c r="CW116" s="331"/>
      <c r="CX116" s="331"/>
    </row>
    <row r="117" spans="5:103" ht="15.75">
      <c r="E117" s="416">
        <f t="shared" si="26"/>
        <v>44644</v>
      </c>
      <c r="F117" s="331"/>
      <c r="K117" s="331"/>
      <c r="M117" s="331"/>
      <c r="Y117" s="331"/>
      <c r="Z117" s="331"/>
      <c r="AA117" s="331"/>
      <c r="AB117" s="331"/>
      <c r="AC117" s="331"/>
      <c r="AD117" s="331"/>
      <c r="AE117" s="331"/>
      <c r="AF117" s="331"/>
      <c r="AG117" s="331"/>
      <c r="AH117" s="331"/>
      <c r="AI117" s="331"/>
      <c r="AJ117" s="331"/>
      <c r="AK117" s="331"/>
      <c r="AL117" s="331"/>
      <c r="AM117" s="331"/>
      <c r="AN117" s="331"/>
      <c r="AO117" s="331"/>
      <c r="AP117" s="331"/>
      <c r="AQ117" s="331"/>
      <c r="AR117" s="331">
        <f>+AR182</f>
        <v>0</v>
      </c>
      <c r="AS117" s="331">
        <f>+IF($F$6=0,AS182,0)</f>
        <v>0</v>
      </c>
      <c r="AT117" s="331">
        <f>+IF($F$6=0,AT182,IF($F$6=30,AT182,0))</f>
        <v>0</v>
      </c>
      <c r="AU117" s="331">
        <f>+IF($F$6=0,AU182,IF($F$6=30,0,IF($F$6=60,AU182,0)))</f>
        <v>0</v>
      </c>
      <c r="AV117" s="331">
        <f>+IF($F$6=0,AV182,IF($F$6=30,AV182,0))</f>
        <v>0</v>
      </c>
      <c r="AW117" s="331">
        <f>+IF($F$6=0,AW182,0)</f>
        <v>0</v>
      </c>
      <c r="AX117" s="331">
        <f>+AX182</f>
        <v>0</v>
      </c>
      <c r="AY117" s="331">
        <f>+IF($F$6=0,AY182,0)</f>
        <v>0</v>
      </c>
      <c r="AZ117" s="331">
        <f>+IF($F$6=0,AZ182,IF($F$6=30,AZ182,0))</f>
        <v>0</v>
      </c>
      <c r="BA117" s="331">
        <f>+IF($F$6=0,BA182,IF($F$6=30,0,IF($F$6=60,BA182,0)))</f>
        <v>0</v>
      </c>
      <c r="BB117" s="331">
        <f>+IF($F$6=0,BB182,IF($F$6=30,BB182,0))</f>
        <v>0</v>
      </c>
      <c r="BC117" s="331">
        <f>+IF($F$6=0,BC182,0)</f>
        <v>0</v>
      </c>
      <c r="BD117" s="331">
        <f>+BD182</f>
        <v>0</v>
      </c>
      <c r="BE117" s="331">
        <f>+IF($F$6=0,BE182,0)</f>
        <v>0</v>
      </c>
      <c r="BF117" s="331">
        <f>+IF($F$6=0,BF182,IF($F$6=30,BF182,0))</f>
        <v>0</v>
      </c>
      <c r="BG117" s="331">
        <f>+IF($F$6=0,BG182,IF($F$6=30,0,IF($F$6=60,BG182,0)))</f>
        <v>0</v>
      </c>
      <c r="BH117" s="331">
        <f>+IF($F$6=0,BH182,IF($F$6=30,BH182,0))</f>
        <v>0</v>
      </c>
      <c r="BI117" s="331">
        <f>+IF($F$6=0,BI182,0)</f>
        <v>0</v>
      </c>
      <c r="BJ117" s="331">
        <f>+BJ182</f>
        <v>0</v>
      </c>
      <c r="BK117" s="331">
        <f>+IF($F$6=0,BK182,0)</f>
        <v>0</v>
      </c>
      <c r="BL117" s="331">
        <f>+IF($F$6=0,BL182,IF($F$6=30,BL182,0))</f>
        <v>0</v>
      </c>
      <c r="BM117" s="331">
        <f>+IF($F$6=0,BM182,IF($F$6=30,0,IF($F$6=60,BM182,0)))</f>
        <v>0</v>
      </c>
      <c r="BN117" s="331"/>
      <c r="BO117" s="331"/>
      <c r="BP117" s="331"/>
      <c r="BQ117" s="331"/>
      <c r="BR117" s="331"/>
      <c r="BS117" s="331"/>
      <c r="BT117" s="331"/>
      <c r="BU117" s="331"/>
      <c r="BV117" s="331"/>
      <c r="BW117" s="331"/>
      <c r="BX117" s="331"/>
      <c r="BY117" s="331"/>
      <c r="BZ117" s="331"/>
      <c r="CA117" s="331"/>
      <c r="CB117" s="331"/>
      <c r="CC117" s="331"/>
      <c r="CD117" s="331"/>
      <c r="CE117" s="331"/>
      <c r="CF117" s="331"/>
      <c r="CG117" s="331"/>
      <c r="CH117" s="331"/>
      <c r="CI117" s="331"/>
      <c r="CJ117" s="331"/>
      <c r="CK117" s="331"/>
      <c r="CL117" s="331"/>
      <c r="CM117" s="331"/>
      <c r="CN117" s="331"/>
      <c r="CO117" s="331"/>
      <c r="CP117" s="331"/>
      <c r="CQ117" s="331"/>
      <c r="CR117" s="331"/>
      <c r="CS117" s="331"/>
      <c r="CT117" s="331"/>
      <c r="CU117" s="331"/>
      <c r="CV117" s="331"/>
      <c r="CW117" s="331"/>
      <c r="CX117" s="331"/>
      <c r="CY117" s="331"/>
    </row>
    <row r="118" spans="5:104" ht="15.75">
      <c r="E118" s="416">
        <f t="shared" si="26"/>
        <v>44675</v>
      </c>
      <c r="F118" s="331"/>
      <c r="K118" s="331"/>
      <c r="M118" s="331"/>
      <c r="Y118" s="331"/>
      <c r="Z118" s="331"/>
      <c r="AA118" s="331"/>
      <c r="AB118" s="331"/>
      <c r="AC118" s="331"/>
      <c r="AD118" s="331"/>
      <c r="AE118" s="331"/>
      <c r="AF118" s="331"/>
      <c r="AG118" s="331"/>
      <c r="AH118" s="331"/>
      <c r="AI118" s="331"/>
      <c r="AJ118" s="331"/>
      <c r="AK118" s="331"/>
      <c r="AL118" s="331"/>
      <c r="AM118" s="331"/>
      <c r="AN118" s="331"/>
      <c r="AO118" s="331"/>
      <c r="AP118" s="331"/>
      <c r="AQ118" s="331"/>
      <c r="AR118" s="331"/>
      <c r="AS118" s="331">
        <f>+AS183</f>
        <v>0</v>
      </c>
      <c r="AT118" s="331">
        <f>+IF($F$6=0,AT183,0)</f>
        <v>0</v>
      </c>
      <c r="AU118" s="331">
        <f>+IF($F$6=0,AU183,IF($F$6=30,AU183,0))</f>
        <v>0</v>
      </c>
      <c r="AV118" s="331">
        <f>+IF($F$6=0,AV183,IF($F$6=30,0,IF($F$6=60,AV183,0)))</f>
        <v>0</v>
      </c>
      <c r="AW118" s="331">
        <f>+IF($F$6=0,AW183,IF($F$6=30,AW183,0))</f>
        <v>0</v>
      </c>
      <c r="AX118" s="331">
        <f>+IF($F$6=0,AX183,0)</f>
        <v>0</v>
      </c>
      <c r="AY118" s="331">
        <f>+AY183</f>
        <v>0</v>
      </c>
      <c r="AZ118" s="331">
        <f>+IF($F$6=0,AZ183,0)</f>
        <v>0</v>
      </c>
      <c r="BA118" s="331">
        <f>+IF($F$6=0,BA183,IF($F$6=30,BA183,0))</f>
        <v>0</v>
      </c>
      <c r="BB118" s="331">
        <f>+IF($F$6=0,BB183,IF($F$6=30,0,IF($F$6=60,BB183,0)))</f>
        <v>0</v>
      </c>
      <c r="BC118" s="331">
        <f>+IF($F$6=0,BC183,IF($F$6=30,BC183,0))</f>
        <v>0</v>
      </c>
      <c r="BD118" s="331">
        <f>+IF($F$6=0,BD183,0)</f>
        <v>0</v>
      </c>
      <c r="BE118" s="331">
        <f>+BE183</f>
        <v>0</v>
      </c>
      <c r="BF118" s="331">
        <f>+IF($F$6=0,BF183,0)</f>
        <v>0</v>
      </c>
      <c r="BG118" s="331">
        <f>+IF($F$6=0,BG183,IF($F$6=30,BG183,0))</f>
        <v>0</v>
      </c>
      <c r="BH118" s="331">
        <f>+IF($F$6=0,BH183,IF($F$6=30,0,IF($F$6=60,BH183,0)))</f>
        <v>0</v>
      </c>
      <c r="BI118" s="331">
        <f>+IF($F$6=0,BI183,IF($F$6=30,BI183,0))</f>
        <v>0</v>
      </c>
      <c r="BJ118" s="331">
        <f>+IF($F$6=0,BJ183,0)</f>
        <v>0</v>
      </c>
      <c r="BK118" s="331">
        <f>+BK183</f>
        <v>0</v>
      </c>
      <c r="BL118" s="331">
        <f>+IF($F$6=0,BL183,0)</f>
        <v>0</v>
      </c>
      <c r="BM118" s="331">
        <f>+IF($F$6=0,BM183,IF($F$6=30,BM183,0))</f>
        <v>0</v>
      </c>
      <c r="BN118" s="331"/>
      <c r="BO118" s="331"/>
      <c r="BP118" s="331"/>
      <c r="BQ118" s="331"/>
      <c r="BR118" s="331"/>
      <c r="BS118" s="331"/>
      <c r="BT118" s="331"/>
      <c r="BU118" s="331"/>
      <c r="BV118" s="331"/>
      <c r="BW118" s="331"/>
      <c r="BX118" s="331"/>
      <c r="BY118" s="331"/>
      <c r="BZ118" s="331"/>
      <c r="CA118" s="331"/>
      <c r="CB118" s="331"/>
      <c r="CC118" s="331"/>
      <c r="CD118" s="331"/>
      <c r="CE118" s="331"/>
      <c r="CF118" s="331"/>
      <c r="CG118" s="331"/>
      <c r="CH118" s="331"/>
      <c r="CI118" s="331"/>
      <c r="CJ118" s="331"/>
      <c r="CK118" s="331"/>
      <c r="CL118" s="331"/>
      <c r="CM118" s="331"/>
      <c r="CN118" s="331"/>
      <c r="CO118" s="331"/>
      <c r="CP118" s="331"/>
      <c r="CQ118" s="331"/>
      <c r="CR118" s="331"/>
      <c r="CS118" s="331"/>
      <c r="CT118" s="331"/>
      <c r="CU118" s="331"/>
      <c r="CV118" s="331"/>
      <c r="CW118" s="331"/>
      <c r="CX118" s="331"/>
      <c r="CY118" s="331"/>
      <c r="CZ118" s="331"/>
    </row>
    <row r="119" spans="5:105" ht="15.75">
      <c r="E119" s="416">
        <f t="shared" si="26"/>
        <v>44706</v>
      </c>
      <c r="F119" s="331"/>
      <c r="K119" s="331"/>
      <c r="M119" s="331"/>
      <c r="Y119" s="331"/>
      <c r="Z119" s="331"/>
      <c r="AA119" s="331"/>
      <c r="AB119" s="331"/>
      <c r="AC119" s="331"/>
      <c r="AD119" s="331"/>
      <c r="AE119" s="331"/>
      <c r="AF119" s="331"/>
      <c r="AG119" s="331"/>
      <c r="AH119" s="331"/>
      <c r="AI119" s="331"/>
      <c r="AJ119" s="331"/>
      <c r="AK119" s="331"/>
      <c r="AL119" s="331"/>
      <c r="AM119" s="331"/>
      <c r="AN119" s="331"/>
      <c r="AO119" s="331"/>
      <c r="AP119" s="331"/>
      <c r="AQ119" s="331"/>
      <c r="AR119" s="331"/>
      <c r="AS119" s="331"/>
      <c r="AT119" s="331">
        <f>+AT184</f>
        <v>0</v>
      </c>
      <c r="AU119" s="331">
        <f>+IF($F$6=0,AU184,0)</f>
        <v>0</v>
      </c>
      <c r="AV119" s="331">
        <f>+IF($F$6=0,AV184,IF($F$6=30,AV184,0))</f>
        <v>0</v>
      </c>
      <c r="AW119" s="331">
        <f>+IF($F$6=0,AW184,IF($F$6=30,0,IF($F$6=60,AW184,0)))</f>
        <v>0</v>
      </c>
      <c r="AX119" s="331">
        <f>+IF($F$6=0,AX184,IF($F$6=30,AX184,0))</f>
        <v>0</v>
      </c>
      <c r="AY119" s="331">
        <f>+IF($F$6=0,AY184,0)</f>
        <v>0</v>
      </c>
      <c r="AZ119" s="331">
        <f>+AZ184</f>
        <v>0</v>
      </c>
      <c r="BA119" s="331">
        <f>+IF($F$6=0,BA184,0)</f>
        <v>0</v>
      </c>
      <c r="BB119" s="331">
        <f>+IF($F$6=0,BB184,IF($F$6=30,BB184,0))</f>
        <v>0</v>
      </c>
      <c r="BC119" s="331">
        <f>+IF($F$6=0,BC184,IF($F$6=30,0,IF($F$6=60,BC184,0)))</f>
        <v>0</v>
      </c>
      <c r="BD119" s="331">
        <f>+IF($F$6=0,BD184,IF($F$6=30,BD184,0))</f>
        <v>0</v>
      </c>
      <c r="BE119" s="331">
        <f>+IF($F$6=0,BE184,0)</f>
        <v>0</v>
      </c>
      <c r="BF119" s="331">
        <f>+BF184</f>
        <v>0</v>
      </c>
      <c r="BG119" s="331">
        <f>+IF($F$6=0,BG184,0)</f>
        <v>0</v>
      </c>
      <c r="BH119" s="331">
        <f>+IF($F$6=0,BH184,IF($F$6=30,BH184,0))</f>
        <v>0</v>
      </c>
      <c r="BI119" s="331">
        <f>+IF($F$6=0,BI184,IF($F$6=30,0,IF($F$6=60,BI184,0)))</f>
        <v>0</v>
      </c>
      <c r="BJ119" s="331">
        <f>+IF($F$6=0,BJ184,IF($F$6=30,BJ184,0))</f>
        <v>0</v>
      </c>
      <c r="BK119" s="331">
        <f>+IF($F$6=0,BK184,0)</f>
        <v>0</v>
      </c>
      <c r="BL119" s="331">
        <f>+BL184</f>
        <v>0</v>
      </c>
      <c r="BM119" s="331">
        <f>+IF($F$6=0,BM184,0)</f>
        <v>0</v>
      </c>
      <c r="BN119" s="331"/>
      <c r="BO119" s="331"/>
      <c r="BP119" s="331"/>
      <c r="BQ119" s="331"/>
      <c r="BR119" s="331"/>
      <c r="BS119" s="331"/>
      <c r="BT119" s="331"/>
      <c r="BU119" s="331"/>
      <c r="BV119" s="331"/>
      <c r="BW119" s="331"/>
      <c r="BX119" s="331"/>
      <c r="BY119" s="331"/>
      <c r="BZ119" s="331"/>
      <c r="CA119" s="331"/>
      <c r="CB119" s="331"/>
      <c r="CC119" s="331"/>
      <c r="CD119" s="331"/>
      <c r="CE119" s="331"/>
      <c r="CF119" s="331"/>
      <c r="CG119" s="331"/>
      <c r="CH119" s="331"/>
      <c r="CI119" s="331"/>
      <c r="CJ119" s="331"/>
      <c r="CK119" s="331"/>
      <c r="CL119" s="331"/>
      <c r="CM119" s="331"/>
      <c r="CN119" s="331"/>
      <c r="CO119" s="331"/>
      <c r="CP119" s="331"/>
      <c r="CQ119" s="331"/>
      <c r="CR119" s="331"/>
      <c r="CS119" s="331"/>
      <c r="CT119" s="331"/>
      <c r="CU119" s="331"/>
      <c r="CV119" s="331"/>
      <c r="CW119" s="331"/>
      <c r="CX119" s="331"/>
      <c r="CY119" s="331"/>
      <c r="CZ119" s="331"/>
      <c r="DA119" s="331"/>
    </row>
    <row r="120" spans="5:106" ht="15.75">
      <c r="E120" s="416">
        <f t="shared" si="26"/>
        <v>44737</v>
      </c>
      <c r="F120" s="331"/>
      <c r="K120" s="331"/>
      <c r="M120" s="331"/>
      <c r="Y120" s="331"/>
      <c r="Z120" s="331"/>
      <c r="AA120" s="331"/>
      <c r="AB120" s="331"/>
      <c r="AC120" s="331"/>
      <c r="AD120" s="331"/>
      <c r="AE120" s="331"/>
      <c r="AF120" s="331"/>
      <c r="AG120" s="331"/>
      <c r="AH120" s="331"/>
      <c r="AI120" s="331"/>
      <c r="AJ120" s="331"/>
      <c r="AK120" s="331"/>
      <c r="AL120" s="331"/>
      <c r="AM120" s="331"/>
      <c r="AN120" s="331"/>
      <c r="AO120" s="331"/>
      <c r="AP120" s="331"/>
      <c r="AQ120" s="331"/>
      <c r="AR120" s="331"/>
      <c r="AS120" s="331"/>
      <c r="AT120" s="331"/>
      <c r="AU120" s="331">
        <f>+AU185</f>
        <v>0</v>
      </c>
      <c r="AV120" s="331">
        <f>+IF($F$6=0,AV185,0)</f>
        <v>0</v>
      </c>
      <c r="AW120" s="331">
        <f>+IF($F$6=0,AW185,IF($F$6=30,AW185,0))</f>
        <v>0</v>
      </c>
      <c r="AX120" s="331">
        <f>+IF($F$6=0,AX185,IF($F$6=30,0,IF($F$6=60,AX185,0)))</f>
        <v>0</v>
      </c>
      <c r="AY120" s="331">
        <f>+IF($F$6=0,AY185,IF($F$6=30,AY185,0))</f>
        <v>0</v>
      </c>
      <c r="AZ120" s="331">
        <f>+IF($F$6=0,AZ185,0)</f>
        <v>0</v>
      </c>
      <c r="BA120" s="331">
        <f>+BA185</f>
        <v>0</v>
      </c>
      <c r="BB120" s="331">
        <f>+IF($F$6=0,BB185,0)</f>
        <v>0</v>
      </c>
      <c r="BC120" s="331">
        <f>+IF($F$6=0,BC185,IF($F$6=30,BC185,0))</f>
        <v>0</v>
      </c>
      <c r="BD120" s="331">
        <f>+IF($F$6=0,BD185,IF($F$6=30,0,IF($F$6=60,BD185,0)))</f>
        <v>0</v>
      </c>
      <c r="BE120" s="331">
        <f>+IF($F$6=0,BE185,IF($F$6=30,BE185,0))</f>
        <v>0</v>
      </c>
      <c r="BF120" s="331">
        <f>+IF($F$6=0,BF185,0)</f>
        <v>0</v>
      </c>
      <c r="BG120" s="331">
        <f>+BG185</f>
        <v>0</v>
      </c>
      <c r="BH120" s="331">
        <f>+IF($F$6=0,BH185,0)</f>
        <v>0</v>
      </c>
      <c r="BI120" s="331">
        <f>+IF($F$6=0,BI185,IF($F$6=30,BI185,0))</f>
        <v>0</v>
      </c>
      <c r="BJ120" s="331">
        <f>+IF($F$6=0,BJ185,IF($F$6=30,0,IF($F$6=60,BJ185,0)))</f>
        <v>0</v>
      </c>
      <c r="BK120" s="331">
        <f>+IF($F$6=0,BK185,IF($F$6=30,BK185,0))</f>
        <v>0</v>
      </c>
      <c r="BL120" s="331">
        <f>+IF($F$6=0,BL185,0)</f>
        <v>0</v>
      </c>
      <c r="BM120" s="331">
        <f>+BM185</f>
        <v>0</v>
      </c>
      <c r="BN120" s="331"/>
      <c r="BO120" s="331"/>
      <c r="BP120" s="331"/>
      <c r="BQ120" s="331"/>
      <c r="BR120" s="331"/>
      <c r="BS120" s="331"/>
      <c r="BT120" s="331"/>
      <c r="BU120" s="331"/>
      <c r="BV120" s="331"/>
      <c r="BW120" s="331"/>
      <c r="BX120" s="331"/>
      <c r="BY120" s="331"/>
      <c r="BZ120" s="331"/>
      <c r="CA120" s="331"/>
      <c r="CB120" s="331"/>
      <c r="CC120" s="331"/>
      <c r="CD120" s="331"/>
      <c r="CE120" s="331"/>
      <c r="CF120" s="331"/>
      <c r="CG120" s="331"/>
      <c r="CH120" s="331"/>
      <c r="CI120" s="331"/>
      <c r="CJ120" s="331"/>
      <c r="CK120" s="331"/>
      <c r="CL120" s="331"/>
      <c r="CM120" s="331"/>
      <c r="CN120" s="331"/>
      <c r="CO120" s="331"/>
      <c r="CP120" s="331"/>
      <c r="CQ120" s="331"/>
      <c r="CR120" s="331"/>
      <c r="CS120" s="331"/>
      <c r="CT120" s="331"/>
      <c r="CU120" s="331"/>
      <c r="CV120" s="331"/>
      <c r="CW120" s="331"/>
      <c r="CX120" s="331"/>
      <c r="CY120" s="331"/>
      <c r="CZ120" s="331"/>
      <c r="DA120" s="331"/>
      <c r="DB120" s="331"/>
    </row>
    <row r="121" spans="5:107" ht="15.75">
      <c r="E121" s="416">
        <f t="shared" si="26"/>
        <v>44768</v>
      </c>
      <c r="F121" s="331"/>
      <c r="K121" s="331"/>
      <c r="M121" s="331"/>
      <c r="Y121" s="331"/>
      <c r="Z121" s="331"/>
      <c r="AA121" s="331"/>
      <c r="AB121" s="331"/>
      <c r="AC121" s="331"/>
      <c r="AD121" s="331"/>
      <c r="AE121" s="331"/>
      <c r="AF121" s="331"/>
      <c r="AG121" s="331"/>
      <c r="AH121" s="331"/>
      <c r="AI121" s="331"/>
      <c r="AJ121" s="331"/>
      <c r="AK121" s="331"/>
      <c r="AL121" s="331"/>
      <c r="AM121" s="331"/>
      <c r="AN121" s="331"/>
      <c r="AO121" s="331"/>
      <c r="AP121" s="331"/>
      <c r="AQ121" s="331"/>
      <c r="AR121" s="331"/>
      <c r="AS121" s="331"/>
      <c r="AT121" s="331"/>
      <c r="AU121" s="331"/>
      <c r="AV121" s="331">
        <f>+AV186</f>
        <v>0</v>
      </c>
      <c r="AW121" s="331">
        <f>+IF($F$6=0,AW186,0)</f>
        <v>0</v>
      </c>
      <c r="AX121" s="331">
        <f>+IF($F$6=0,AX186,IF($F$6=30,AX186,0))</f>
        <v>0</v>
      </c>
      <c r="AY121" s="331">
        <f>+IF($F$6=0,AY186,IF($F$6=30,0,IF($F$6=60,AY186,0)))</f>
        <v>0</v>
      </c>
      <c r="AZ121" s="331">
        <f>+IF($F$6=0,AZ186,IF($F$6=30,AZ186,0))</f>
        <v>0</v>
      </c>
      <c r="BA121" s="331">
        <f>+IF($F$6=0,BA186,0)</f>
        <v>0</v>
      </c>
      <c r="BB121" s="331">
        <f>+BB186</f>
        <v>0</v>
      </c>
      <c r="BC121" s="331">
        <f>+IF($F$6=0,BC186,0)</f>
        <v>0</v>
      </c>
      <c r="BD121" s="331">
        <f>+IF($F$6=0,BD186,IF($F$6=30,BD186,0))</f>
        <v>0</v>
      </c>
      <c r="BE121" s="331">
        <f>+IF($F$6=0,BE186,IF($F$6=30,0,IF($F$6=60,BE186,0)))</f>
        <v>0</v>
      </c>
      <c r="BF121" s="331">
        <f>+IF($F$6=0,BF186,IF($F$6=30,BF186,0))</f>
        <v>0</v>
      </c>
      <c r="BG121" s="331">
        <f>+IF($F$6=0,BG186,0)</f>
        <v>0</v>
      </c>
      <c r="BH121" s="331">
        <f>+BH186</f>
        <v>0</v>
      </c>
      <c r="BI121" s="331">
        <f>+IF($F$6=0,BI186,0)</f>
        <v>0</v>
      </c>
      <c r="BJ121" s="331">
        <f>+IF($F$6=0,BJ186,IF($F$6=30,BJ186,0))</f>
        <v>0</v>
      </c>
      <c r="BK121" s="331">
        <f>+IF($F$6=0,BK186,IF($F$6=30,0,IF($F$6=60,BK186,0)))</f>
        <v>0</v>
      </c>
      <c r="BL121" s="331">
        <f>+IF($F$6=0,BL186,IF($F$6=30,BL186,0))</f>
        <v>0</v>
      </c>
      <c r="BM121" s="331">
        <f>+IF($F$6=0,BM186,0)</f>
        <v>0</v>
      </c>
      <c r="BN121" s="331"/>
      <c r="BO121" s="331"/>
      <c r="BP121" s="331"/>
      <c r="BQ121" s="331"/>
      <c r="BR121" s="331"/>
      <c r="BS121" s="331"/>
      <c r="BT121" s="331"/>
      <c r="BU121" s="331"/>
      <c r="BV121" s="331"/>
      <c r="BW121" s="331"/>
      <c r="BX121" s="331"/>
      <c r="BY121" s="331"/>
      <c r="BZ121" s="331"/>
      <c r="CA121" s="331"/>
      <c r="CB121" s="331"/>
      <c r="CC121" s="331"/>
      <c r="CD121" s="331"/>
      <c r="CE121" s="331"/>
      <c r="CF121" s="331"/>
      <c r="CG121" s="331"/>
      <c r="CH121" s="331"/>
      <c r="CI121" s="331"/>
      <c r="CJ121" s="331"/>
      <c r="CK121" s="331"/>
      <c r="CL121" s="331"/>
      <c r="CM121" s="331"/>
      <c r="CN121" s="331"/>
      <c r="CO121" s="331"/>
      <c r="CP121" s="331"/>
      <c r="CQ121" s="331"/>
      <c r="CR121" s="331"/>
      <c r="CS121" s="331"/>
      <c r="CT121" s="331"/>
      <c r="CU121" s="331"/>
      <c r="CV121" s="331"/>
      <c r="CW121" s="331"/>
      <c r="CX121" s="331"/>
      <c r="CY121" s="331"/>
      <c r="CZ121" s="331"/>
      <c r="DA121" s="331"/>
      <c r="DB121" s="331"/>
      <c r="DC121" s="331"/>
    </row>
    <row r="122" spans="5:108" ht="15.75">
      <c r="E122" s="416">
        <f t="shared" si="26"/>
        <v>44799</v>
      </c>
      <c r="F122" s="331"/>
      <c r="K122" s="331"/>
      <c r="M122" s="331"/>
      <c r="Y122" s="331"/>
      <c r="Z122" s="331"/>
      <c r="AA122" s="331"/>
      <c r="AB122" s="331"/>
      <c r="AC122" s="331"/>
      <c r="AD122" s="331"/>
      <c r="AE122" s="331"/>
      <c r="AF122" s="331"/>
      <c r="AG122" s="331"/>
      <c r="AH122" s="331"/>
      <c r="AI122" s="331"/>
      <c r="AJ122" s="331"/>
      <c r="AK122" s="331"/>
      <c r="AL122" s="331"/>
      <c r="AM122" s="331"/>
      <c r="AN122" s="331"/>
      <c r="AO122" s="331"/>
      <c r="AP122" s="331"/>
      <c r="AQ122" s="331"/>
      <c r="AR122" s="331"/>
      <c r="AS122" s="331"/>
      <c r="AT122" s="331"/>
      <c r="AU122" s="331"/>
      <c r="AV122" s="331"/>
      <c r="AW122" s="331">
        <f>+AW187</f>
        <v>0</v>
      </c>
      <c r="AX122" s="331">
        <f>+IF($F$6=0,AX187,0)</f>
        <v>0</v>
      </c>
      <c r="AY122" s="331">
        <f>+IF($F$6=0,AY187,IF($F$6=30,AY187,0))</f>
        <v>0</v>
      </c>
      <c r="AZ122" s="331">
        <f>+IF($F$6=0,AZ187,IF($F$6=30,0,IF($F$6=60,AZ187,0)))</f>
        <v>0</v>
      </c>
      <c r="BA122" s="331">
        <f>+IF($F$6=0,BA187,IF($F$6=30,BA187,0))</f>
        <v>0</v>
      </c>
      <c r="BB122" s="331">
        <f>+IF($F$6=0,BB187,0)</f>
        <v>0</v>
      </c>
      <c r="BC122" s="331">
        <f>+BC187</f>
        <v>0</v>
      </c>
      <c r="BD122" s="331">
        <f>+IF($F$6=0,BD187,0)</f>
        <v>0</v>
      </c>
      <c r="BE122" s="331">
        <f>+IF($F$6=0,BE187,IF($F$6=30,BE187,0))</f>
        <v>0</v>
      </c>
      <c r="BF122" s="331">
        <f>+IF($F$6=0,BF187,IF($F$6=30,0,IF($F$6=60,BF187,0)))</f>
        <v>0</v>
      </c>
      <c r="BG122" s="331">
        <f>+IF($F$6=0,BG187,IF($F$6=30,BG187,0))</f>
        <v>0</v>
      </c>
      <c r="BH122" s="331">
        <f>+IF($F$6=0,BH187,0)</f>
        <v>0</v>
      </c>
      <c r="BI122" s="331">
        <f>+BI187</f>
        <v>0</v>
      </c>
      <c r="BJ122" s="331">
        <f>+IF($F$6=0,BJ187,0)</f>
        <v>0</v>
      </c>
      <c r="BK122" s="331">
        <f>+IF($F$6=0,BK187,IF($F$6=30,BK187,0))</f>
        <v>0</v>
      </c>
      <c r="BL122" s="331">
        <f>+IF($F$6=0,BL187,IF($F$6=30,0,IF($F$6=60,BL187,0)))</f>
        <v>0</v>
      </c>
      <c r="BM122" s="331">
        <f>+IF($F$6=0,BM187,IF($F$6=30,BM187,0))</f>
        <v>0</v>
      </c>
      <c r="BN122" s="331"/>
      <c r="BO122" s="331"/>
      <c r="BP122" s="331"/>
      <c r="BQ122" s="331"/>
      <c r="BR122" s="331"/>
      <c r="BS122" s="331"/>
      <c r="BT122" s="331"/>
      <c r="BU122" s="331"/>
      <c r="BV122" s="331"/>
      <c r="BW122" s="331"/>
      <c r="BX122" s="331"/>
      <c r="BY122" s="331"/>
      <c r="BZ122" s="331"/>
      <c r="CA122" s="331"/>
      <c r="CB122" s="331"/>
      <c r="CC122" s="331"/>
      <c r="CD122" s="331"/>
      <c r="CE122" s="331"/>
      <c r="CF122" s="331"/>
      <c r="CG122" s="331"/>
      <c r="CH122" s="331"/>
      <c r="CI122" s="331"/>
      <c r="CJ122" s="331"/>
      <c r="CK122" s="331"/>
      <c r="CL122" s="331"/>
      <c r="CM122" s="331"/>
      <c r="CN122" s="331"/>
      <c r="CO122" s="331"/>
      <c r="CP122" s="331"/>
      <c r="CQ122" s="331"/>
      <c r="CR122" s="331"/>
      <c r="CS122" s="331"/>
      <c r="CT122" s="331"/>
      <c r="CU122" s="331"/>
      <c r="CV122" s="331"/>
      <c r="CW122" s="331"/>
      <c r="CX122" s="331"/>
      <c r="CY122" s="331"/>
      <c r="CZ122" s="331"/>
      <c r="DA122" s="331"/>
      <c r="DB122" s="331"/>
      <c r="DC122" s="331"/>
      <c r="DD122" s="331"/>
    </row>
    <row r="123" spans="5:109" ht="15.75">
      <c r="E123" s="416">
        <f t="shared" si="26"/>
        <v>44830</v>
      </c>
      <c r="F123" s="331"/>
      <c r="K123" s="331"/>
      <c r="M123" s="331"/>
      <c r="Y123" s="331"/>
      <c r="Z123" s="331"/>
      <c r="AA123" s="331"/>
      <c r="AB123" s="331"/>
      <c r="AC123" s="331"/>
      <c r="AD123" s="331"/>
      <c r="AE123" s="331"/>
      <c r="AF123" s="331"/>
      <c r="AG123" s="331"/>
      <c r="AH123" s="331"/>
      <c r="AI123" s="331"/>
      <c r="AJ123" s="331"/>
      <c r="AK123" s="331"/>
      <c r="AL123" s="331"/>
      <c r="AM123" s="331"/>
      <c r="AN123" s="331"/>
      <c r="AO123" s="331"/>
      <c r="AP123" s="331"/>
      <c r="AQ123" s="331"/>
      <c r="AR123" s="331"/>
      <c r="AS123" s="331"/>
      <c r="AT123" s="331"/>
      <c r="AU123" s="331"/>
      <c r="AV123" s="331"/>
      <c r="AW123" s="331"/>
      <c r="AX123" s="331">
        <f>+AX188</f>
        <v>0</v>
      </c>
      <c r="AY123" s="331">
        <f>+IF($F$6=0,AY188,0)</f>
        <v>0</v>
      </c>
      <c r="AZ123" s="331">
        <f>+IF($F$6=0,AZ188,IF($F$6=30,AZ188,0))</f>
        <v>0</v>
      </c>
      <c r="BA123" s="331">
        <f>+IF($F$6=0,BA188,IF($F$6=30,0,IF($F$6=60,BA188,0)))</f>
        <v>0</v>
      </c>
      <c r="BB123" s="331">
        <f>+IF($F$6=0,BB188,IF($F$6=30,BB188,0))</f>
        <v>0</v>
      </c>
      <c r="BC123" s="331">
        <f>+IF($F$6=0,BC188,0)</f>
        <v>0</v>
      </c>
      <c r="BD123" s="331">
        <f>+BD188</f>
        <v>0</v>
      </c>
      <c r="BE123" s="331">
        <f>+IF($F$6=0,BE188,0)</f>
        <v>0</v>
      </c>
      <c r="BF123" s="331">
        <f>+IF($F$6=0,BF188,IF($F$6=30,BF188,0))</f>
        <v>0</v>
      </c>
      <c r="BG123" s="331">
        <f>+IF($F$6=0,BG188,IF($F$6=30,0,IF($F$6=60,BG188,0)))</f>
        <v>0</v>
      </c>
      <c r="BH123" s="331">
        <f>+IF($F$6=0,BH188,IF($F$6=30,BH188,0))</f>
        <v>0</v>
      </c>
      <c r="BI123" s="331">
        <f>+IF($F$6=0,BI188,0)</f>
        <v>0</v>
      </c>
      <c r="BJ123" s="331">
        <f>+BJ188</f>
        <v>0</v>
      </c>
      <c r="BK123" s="331">
        <f>+IF($F$6=0,BK188,0)</f>
        <v>0</v>
      </c>
      <c r="BL123" s="331">
        <f>+IF($F$6=0,BL188,IF($F$6=30,BL188,0))</f>
        <v>0</v>
      </c>
      <c r="BM123" s="331">
        <f>+IF($F$6=0,BM188,IF($F$6=30,0,IF($F$6=60,BM188,0)))</f>
        <v>0</v>
      </c>
      <c r="BN123" s="331"/>
      <c r="BO123" s="331"/>
      <c r="BP123" s="331"/>
      <c r="BQ123" s="331"/>
      <c r="BR123" s="331"/>
      <c r="BS123" s="331"/>
      <c r="BT123" s="331"/>
      <c r="BU123" s="331"/>
      <c r="BV123" s="331"/>
      <c r="BW123" s="331"/>
      <c r="BX123" s="331"/>
      <c r="BY123" s="331"/>
      <c r="BZ123" s="331"/>
      <c r="CA123" s="331"/>
      <c r="CB123" s="331"/>
      <c r="CC123" s="331"/>
      <c r="CD123" s="331"/>
      <c r="CE123" s="331"/>
      <c r="CF123" s="331"/>
      <c r="CG123" s="331"/>
      <c r="CH123" s="331"/>
      <c r="CI123" s="331"/>
      <c r="CJ123" s="331"/>
      <c r="CK123" s="331"/>
      <c r="CL123" s="331"/>
      <c r="CM123" s="331"/>
      <c r="CN123" s="331"/>
      <c r="CO123" s="331"/>
      <c r="CP123" s="331"/>
      <c r="CQ123" s="331"/>
      <c r="CR123" s="331"/>
      <c r="CS123" s="331"/>
      <c r="CT123" s="331"/>
      <c r="CU123" s="331"/>
      <c r="CV123" s="331"/>
      <c r="CW123" s="331"/>
      <c r="CX123" s="331"/>
      <c r="CY123" s="331"/>
      <c r="CZ123" s="331"/>
      <c r="DA123" s="331"/>
      <c r="DB123" s="331"/>
      <c r="DC123" s="331"/>
      <c r="DD123" s="331"/>
      <c r="DE123" s="331"/>
    </row>
    <row r="124" spans="5:110" ht="15.75">
      <c r="E124" s="416">
        <f t="shared" si="26"/>
        <v>44861</v>
      </c>
      <c r="F124" s="331"/>
      <c r="K124" s="331"/>
      <c r="M124" s="331"/>
      <c r="Y124" s="331"/>
      <c r="Z124" s="331"/>
      <c r="AA124" s="331"/>
      <c r="AB124" s="331"/>
      <c r="AC124" s="331"/>
      <c r="AD124" s="331"/>
      <c r="AE124" s="331"/>
      <c r="AF124" s="331"/>
      <c r="AG124" s="331"/>
      <c r="AH124" s="331"/>
      <c r="AI124" s="331"/>
      <c r="AJ124" s="331"/>
      <c r="AK124" s="331"/>
      <c r="AL124" s="331"/>
      <c r="AM124" s="331"/>
      <c r="AN124" s="331"/>
      <c r="AO124" s="331"/>
      <c r="AP124" s="331"/>
      <c r="AQ124" s="331"/>
      <c r="AR124" s="331"/>
      <c r="AS124" s="331"/>
      <c r="AT124" s="331"/>
      <c r="AU124" s="331"/>
      <c r="AV124" s="331"/>
      <c r="AW124" s="331"/>
      <c r="AX124" s="331"/>
      <c r="AY124" s="331">
        <f>+AY189</f>
        <v>0</v>
      </c>
      <c r="AZ124" s="331">
        <f>+IF($F$6=0,AZ189,0)</f>
        <v>0</v>
      </c>
      <c r="BA124" s="331">
        <f>+IF($F$6=0,BA189,IF($F$6=30,BA189,0))</f>
        <v>0</v>
      </c>
      <c r="BB124" s="331">
        <f>+IF($F$6=0,BB189,IF($F$6=30,0,IF($F$6=60,BB189,0)))</f>
        <v>0</v>
      </c>
      <c r="BC124" s="331">
        <f>+IF($F$6=0,BC189,IF($F$6=30,BC189,0))</f>
        <v>0</v>
      </c>
      <c r="BD124" s="331">
        <f>+IF($F$6=0,BD189,0)</f>
        <v>0</v>
      </c>
      <c r="BE124" s="331">
        <f>+BE189</f>
        <v>0</v>
      </c>
      <c r="BF124" s="331">
        <f>+IF($F$6=0,BF189,0)</f>
        <v>0</v>
      </c>
      <c r="BG124" s="331">
        <f>+IF($F$6=0,BG189,IF($F$6=30,BG189,0))</f>
        <v>0</v>
      </c>
      <c r="BH124" s="331">
        <f>+IF($F$6=0,BH189,IF($F$6=30,0,IF($F$6=60,BH189,0)))</f>
        <v>0</v>
      </c>
      <c r="BI124" s="331">
        <f>+IF($F$6=0,BI189,IF($F$6=30,BI189,0))</f>
        <v>0</v>
      </c>
      <c r="BJ124" s="331">
        <f>+IF($F$6=0,BJ189,0)</f>
        <v>0</v>
      </c>
      <c r="BK124" s="331">
        <f>+BK189</f>
        <v>0</v>
      </c>
      <c r="BL124" s="331">
        <f>+IF($F$6=0,BL189,0)</f>
        <v>0</v>
      </c>
      <c r="BM124" s="331">
        <f>+IF($F$6=0,BM189,IF($F$6=30,BM189,0))</f>
        <v>0</v>
      </c>
      <c r="BN124" s="331"/>
      <c r="BO124" s="331"/>
      <c r="BP124" s="331"/>
      <c r="BQ124" s="331"/>
      <c r="BR124" s="331"/>
      <c r="BS124" s="331"/>
      <c r="BT124" s="331"/>
      <c r="BU124" s="331"/>
      <c r="BV124" s="331"/>
      <c r="BW124" s="331"/>
      <c r="BX124" s="331"/>
      <c r="BY124" s="331"/>
      <c r="BZ124" s="331"/>
      <c r="CA124" s="331"/>
      <c r="CB124" s="331"/>
      <c r="CC124" s="331"/>
      <c r="CD124" s="331"/>
      <c r="CE124" s="331"/>
      <c r="CF124" s="331"/>
      <c r="CG124" s="331"/>
      <c r="CH124" s="331"/>
      <c r="CI124" s="331"/>
      <c r="CJ124" s="331"/>
      <c r="CK124" s="331"/>
      <c r="CL124" s="331"/>
      <c r="CM124" s="331"/>
      <c r="CN124" s="331"/>
      <c r="CO124" s="331"/>
      <c r="CP124" s="331"/>
      <c r="CQ124" s="331"/>
      <c r="CR124" s="331"/>
      <c r="CS124" s="331"/>
      <c r="CT124" s="331"/>
      <c r="CU124" s="331"/>
      <c r="CV124" s="331"/>
      <c r="CW124" s="331"/>
      <c r="CX124" s="331"/>
      <c r="CY124" s="331"/>
      <c r="CZ124" s="331"/>
      <c r="DA124" s="331"/>
      <c r="DB124" s="331"/>
      <c r="DC124" s="331"/>
      <c r="DD124" s="331"/>
      <c r="DE124" s="331"/>
      <c r="DF124" s="331"/>
    </row>
    <row r="125" spans="5:111" ht="15.75">
      <c r="E125" s="416">
        <f t="shared" si="26"/>
        <v>44892</v>
      </c>
      <c r="F125" s="331"/>
      <c r="K125" s="331"/>
      <c r="M125" s="331"/>
      <c r="Y125" s="331"/>
      <c r="Z125" s="331"/>
      <c r="AA125" s="331"/>
      <c r="AB125" s="331"/>
      <c r="AC125" s="331"/>
      <c r="AD125" s="331"/>
      <c r="AE125" s="331"/>
      <c r="AF125" s="331"/>
      <c r="AG125" s="331"/>
      <c r="AH125" s="331"/>
      <c r="AI125" s="331"/>
      <c r="AJ125" s="331"/>
      <c r="AK125" s="331"/>
      <c r="AL125" s="331"/>
      <c r="AM125" s="331"/>
      <c r="AN125" s="331"/>
      <c r="AO125" s="331"/>
      <c r="AP125" s="331"/>
      <c r="AQ125" s="331"/>
      <c r="AR125" s="331"/>
      <c r="AS125" s="331"/>
      <c r="AT125" s="331"/>
      <c r="AU125" s="331"/>
      <c r="AV125" s="331"/>
      <c r="AW125" s="331"/>
      <c r="AX125" s="331"/>
      <c r="AY125" s="331"/>
      <c r="AZ125" s="331">
        <f>+AZ190</f>
        <v>0</v>
      </c>
      <c r="BA125" s="331">
        <f>+IF($F$6=0,BA190,0)</f>
        <v>0</v>
      </c>
      <c r="BB125" s="331">
        <f>+IF($F$6=0,BB190,IF($F$6=30,BB190,0))</f>
        <v>0</v>
      </c>
      <c r="BC125" s="331">
        <f>+IF($F$6=0,BC190,IF($F$6=30,0,IF($F$6=60,BC190,0)))</f>
        <v>0</v>
      </c>
      <c r="BD125" s="331">
        <f>+IF($F$6=0,BD190,IF($F$6=30,BD190,0))</f>
        <v>0</v>
      </c>
      <c r="BE125" s="331">
        <f>+IF($F$6=0,BE190,0)</f>
        <v>0</v>
      </c>
      <c r="BF125" s="331">
        <f>+BF190</f>
        <v>0</v>
      </c>
      <c r="BG125" s="331">
        <f>+IF($F$6=0,BG190,0)</f>
        <v>0</v>
      </c>
      <c r="BH125" s="331">
        <f>+IF($F$6=0,BH190,IF($F$6=30,BH190,0))</f>
        <v>0</v>
      </c>
      <c r="BI125" s="331">
        <f>+IF($F$6=0,BI190,IF($F$6=30,0,IF($F$6=60,BI190,0)))</f>
        <v>0</v>
      </c>
      <c r="BJ125" s="331">
        <f>+IF($F$6=0,BJ190,IF($F$6=30,BJ190,0))</f>
        <v>0</v>
      </c>
      <c r="BK125" s="331">
        <f>+IF($F$6=0,BK190,0)</f>
        <v>0</v>
      </c>
      <c r="BL125" s="331">
        <f>+BL190</f>
        <v>0</v>
      </c>
      <c r="BM125" s="331">
        <f>+IF($F$6=0,BM190,0)</f>
        <v>0</v>
      </c>
      <c r="BN125" s="331"/>
      <c r="BO125" s="331"/>
      <c r="BP125" s="331"/>
      <c r="BQ125" s="331"/>
      <c r="BR125" s="331"/>
      <c r="BS125" s="331"/>
      <c r="BT125" s="331"/>
      <c r="BU125" s="331"/>
      <c r="BV125" s="331"/>
      <c r="BW125" s="331"/>
      <c r="BX125" s="331"/>
      <c r="BY125" s="331"/>
      <c r="BZ125" s="331"/>
      <c r="CA125" s="331"/>
      <c r="CB125" s="331"/>
      <c r="CC125" s="331"/>
      <c r="CD125" s="331"/>
      <c r="CE125" s="331"/>
      <c r="CF125" s="331"/>
      <c r="CG125" s="331"/>
      <c r="CH125" s="331"/>
      <c r="CI125" s="331"/>
      <c r="CJ125" s="331"/>
      <c r="CK125" s="331"/>
      <c r="CL125" s="331"/>
      <c r="CM125" s="331"/>
      <c r="CN125" s="331"/>
      <c r="CO125" s="331"/>
      <c r="CP125" s="331"/>
      <c r="CQ125" s="331"/>
      <c r="CR125" s="331"/>
      <c r="CS125" s="331"/>
      <c r="CT125" s="331"/>
      <c r="CU125" s="331"/>
      <c r="CV125" s="331"/>
      <c r="CW125" s="331"/>
      <c r="CX125" s="331"/>
      <c r="CY125" s="331"/>
      <c r="CZ125" s="331"/>
      <c r="DA125" s="331"/>
      <c r="DB125" s="331"/>
      <c r="DC125" s="331"/>
      <c r="DD125" s="331"/>
      <c r="DE125" s="331"/>
      <c r="DF125" s="331"/>
      <c r="DG125" s="331"/>
    </row>
    <row r="126" spans="5:112" ht="15.75">
      <c r="E126" s="416">
        <f t="shared" si="26"/>
        <v>44923</v>
      </c>
      <c r="F126" s="331"/>
      <c r="K126" s="331"/>
      <c r="M126" s="331"/>
      <c r="Y126" s="331"/>
      <c r="Z126" s="331"/>
      <c r="AA126" s="331"/>
      <c r="AB126" s="331"/>
      <c r="AC126" s="331"/>
      <c r="AD126" s="331"/>
      <c r="AE126" s="331"/>
      <c r="AF126" s="331"/>
      <c r="AG126" s="331"/>
      <c r="AH126" s="331"/>
      <c r="AI126" s="331"/>
      <c r="AJ126" s="331"/>
      <c r="AK126" s="331"/>
      <c r="AL126" s="331"/>
      <c r="AM126" s="331"/>
      <c r="AN126" s="331"/>
      <c r="AO126" s="331"/>
      <c r="AP126" s="331"/>
      <c r="AQ126" s="331"/>
      <c r="AR126" s="331"/>
      <c r="AS126" s="331"/>
      <c r="AT126" s="331"/>
      <c r="AU126" s="331"/>
      <c r="AV126" s="331"/>
      <c r="AW126" s="331"/>
      <c r="AX126" s="331"/>
      <c r="AY126" s="331"/>
      <c r="AZ126" s="331"/>
      <c r="BA126" s="331">
        <f>+BA191</f>
        <v>0</v>
      </c>
      <c r="BB126" s="331">
        <f>+IF($F$6=0,BB191,0)</f>
        <v>0</v>
      </c>
      <c r="BC126" s="331">
        <f>+IF($F$6=0,BC191,IF($F$6=30,BC191,0))</f>
        <v>0</v>
      </c>
      <c r="BD126" s="331">
        <f>+IF($F$6=0,BD191,IF($F$6=30,0,IF($F$6=60,BD191,0)))</f>
        <v>0</v>
      </c>
      <c r="BE126" s="331">
        <f>+IF($F$6=0,BE191,IF($F$6=30,BE191,0))</f>
        <v>0</v>
      </c>
      <c r="BF126" s="331">
        <f>+IF($F$6=0,BF191,0)</f>
        <v>0</v>
      </c>
      <c r="BG126" s="331">
        <f>+BG191</f>
        <v>0</v>
      </c>
      <c r="BH126" s="331">
        <f>+IF($F$6=0,BH191,0)</f>
        <v>0</v>
      </c>
      <c r="BI126" s="331">
        <f>+IF($F$6=0,BI191,IF($F$6=30,BI191,0))</f>
        <v>0</v>
      </c>
      <c r="BJ126" s="331">
        <f>+IF($F$6=0,BJ191,IF($F$6=30,0,IF($F$6=60,BJ191,0)))</f>
        <v>0</v>
      </c>
      <c r="BK126" s="331">
        <f>+IF($F$6=0,BK191,IF($F$6=30,BK191,0))</f>
        <v>0</v>
      </c>
      <c r="BL126" s="331">
        <f>+IF($F$6=0,BL191,0)</f>
        <v>0</v>
      </c>
      <c r="BM126" s="331">
        <f>+BM191</f>
        <v>0</v>
      </c>
      <c r="BN126" s="331"/>
      <c r="BO126" s="331"/>
      <c r="BP126" s="331"/>
      <c r="BQ126" s="331"/>
      <c r="BR126" s="331"/>
      <c r="BS126" s="331"/>
      <c r="BT126" s="331"/>
      <c r="BU126" s="331"/>
      <c r="BV126" s="331"/>
      <c r="BW126" s="331"/>
      <c r="BX126" s="331"/>
      <c r="BY126" s="331"/>
      <c r="BZ126" s="331"/>
      <c r="CA126" s="331"/>
      <c r="CB126" s="331"/>
      <c r="CC126" s="331"/>
      <c r="CD126" s="331"/>
      <c r="CE126" s="331"/>
      <c r="CF126" s="331"/>
      <c r="CG126" s="331"/>
      <c r="CH126" s="331"/>
      <c r="CI126" s="331"/>
      <c r="CJ126" s="331"/>
      <c r="CK126" s="331"/>
      <c r="CL126" s="331"/>
      <c r="CM126" s="331"/>
      <c r="CN126" s="331"/>
      <c r="CO126" s="331"/>
      <c r="CP126" s="331"/>
      <c r="CQ126" s="331"/>
      <c r="CR126" s="331"/>
      <c r="CS126" s="331"/>
      <c r="CT126" s="331"/>
      <c r="CU126" s="331"/>
      <c r="CV126" s="331"/>
      <c r="CW126" s="331"/>
      <c r="CX126" s="331"/>
      <c r="CY126" s="331"/>
      <c r="CZ126" s="331"/>
      <c r="DA126" s="331"/>
      <c r="DB126" s="331"/>
      <c r="DC126" s="331"/>
      <c r="DD126" s="331"/>
      <c r="DE126" s="331"/>
      <c r="DF126" s="331"/>
      <c r="DG126" s="331"/>
      <c r="DH126" s="331"/>
    </row>
    <row r="127" spans="5:113" ht="15.75">
      <c r="E127" s="416">
        <f t="shared" si="26"/>
        <v>44954</v>
      </c>
      <c r="F127" s="331"/>
      <c r="G127" s="331"/>
      <c r="H127" s="331"/>
      <c r="I127" s="331"/>
      <c r="J127" s="331"/>
      <c r="K127" s="331"/>
      <c r="L127" s="331"/>
      <c r="M127" s="331"/>
      <c r="N127" s="331"/>
      <c r="O127" s="331"/>
      <c r="P127" s="331"/>
      <c r="Q127" s="331"/>
      <c r="R127" s="331"/>
      <c r="S127" s="331"/>
      <c r="T127" s="331"/>
      <c r="U127" s="331"/>
      <c r="V127" s="331"/>
      <c r="W127" s="331"/>
      <c r="X127" s="331"/>
      <c r="Y127" s="331"/>
      <c r="Z127" s="331"/>
      <c r="AA127" s="331"/>
      <c r="AB127" s="331"/>
      <c r="AC127" s="331"/>
      <c r="AD127" s="331"/>
      <c r="AE127" s="331"/>
      <c r="AF127" s="331"/>
      <c r="AG127" s="331"/>
      <c r="AH127" s="331"/>
      <c r="AI127" s="331"/>
      <c r="AJ127" s="331"/>
      <c r="AK127" s="331"/>
      <c r="AL127" s="331"/>
      <c r="AM127" s="331"/>
      <c r="AN127" s="331"/>
      <c r="AO127" s="331"/>
      <c r="AP127" s="331"/>
      <c r="AQ127" s="331"/>
      <c r="AR127" s="331"/>
      <c r="AS127" s="331"/>
      <c r="AT127" s="331"/>
      <c r="AU127" s="331"/>
      <c r="AV127" s="331"/>
      <c r="AW127" s="331"/>
      <c r="AX127" s="331"/>
      <c r="AY127" s="331"/>
      <c r="AZ127" s="331"/>
      <c r="BA127" s="331"/>
      <c r="BB127" s="331">
        <f>+BB192</f>
        <v>0</v>
      </c>
      <c r="BC127" s="331">
        <f>+IF($F$6=0,BC192,0)</f>
        <v>0</v>
      </c>
      <c r="BD127" s="331">
        <f>+IF($F$6=0,BD192,IF($F$6=30,BD192,0))</f>
        <v>0</v>
      </c>
      <c r="BE127" s="331">
        <f>+IF($F$6=0,BE192,IF($F$6=30,0,IF($F$6=60,BE192,0)))</f>
        <v>0</v>
      </c>
      <c r="BF127" s="331">
        <f>+IF($F$6=0,BF192,IF($F$6=30,BF192,0))</f>
        <v>0</v>
      </c>
      <c r="BG127" s="331">
        <f>+IF($F$6=0,BG192,0)</f>
        <v>0</v>
      </c>
      <c r="BH127" s="331">
        <f>+BH192</f>
        <v>0</v>
      </c>
      <c r="BI127" s="331">
        <f>+IF($F$6=0,BI192,0)</f>
        <v>0</v>
      </c>
      <c r="BJ127" s="331">
        <f>+IF($F$6=0,BJ192,IF($F$6=30,BJ192,0))</f>
        <v>0</v>
      </c>
      <c r="BK127" s="331">
        <f>+IF($F$6=0,BK192,IF($F$6=30,0,IF($F$6=60,BK192,0)))</f>
        <v>0</v>
      </c>
      <c r="BL127" s="331">
        <f>+IF($F$6=0,BL192,IF($F$6=30,BL192,0))</f>
        <v>0</v>
      </c>
      <c r="BM127" s="331">
        <f>+IF($F$6=0,BM192,0)</f>
        <v>0</v>
      </c>
      <c r="BN127" s="331"/>
      <c r="BO127" s="331"/>
      <c r="BP127" s="331"/>
      <c r="BQ127" s="331"/>
      <c r="BR127" s="331"/>
      <c r="BS127" s="331"/>
      <c r="BT127" s="331"/>
      <c r="BU127" s="331"/>
      <c r="BV127" s="331"/>
      <c r="BW127" s="331"/>
      <c r="BX127" s="331"/>
      <c r="BY127" s="331"/>
      <c r="BZ127" s="331"/>
      <c r="CA127" s="331"/>
      <c r="CB127" s="331"/>
      <c r="CC127" s="331"/>
      <c r="CD127" s="331"/>
      <c r="CE127" s="331"/>
      <c r="CF127" s="331"/>
      <c r="CG127" s="331"/>
      <c r="CH127" s="331"/>
      <c r="CI127" s="331"/>
      <c r="CJ127" s="331"/>
      <c r="CK127" s="331"/>
      <c r="CL127" s="331"/>
      <c r="CM127" s="331"/>
      <c r="CN127" s="331"/>
      <c r="CO127" s="331"/>
      <c r="CP127" s="331"/>
      <c r="CQ127" s="331"/>
      <c r="CR127" s="331"/>
      <c r="CS127" s="331"/>
      <c r="CT127" s="331"/>
      <c r="CU127" s="331"/>
      <c r="CV127" s="331"/>
      <c r="CW127" s="331"/>
      <c r="CX127" s="331"/>
      <c r="CY127" s="331"/>
      <c r="CZ127" s="331"/>
      <c r="DA127" s="331"/>
      <c r="DB127" s="331"/>
      <c r="DC127" s="331"/>
      <c r="DD127" s="331"/>
      <c r="DE127" s="331"/>
      <c r="DF127" s="331"/>
      <c r="DG127" s="331"/>
      <c r="DH127" s="331"/>
      <c r="DI127" s="331"/>
    </row>
    <row r="128" spans="5:114" ht="15.75">
      <c r="E128" s="416">
        <f t="shared" si="26"/>
        <v>44985</v>
      </c>
      <c r="F128" s="331"/>
      <c r="G128" s="331"/>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31"/>
      <c r="AM128" s="331"/>
      <c r="AN128" s="331"/>
      <c r="AO128" s="331"/>
      <c r="AP128" s="331"/>
      <c r="AQ128" s="331"/>
      <c r="AR128" s="331"/>
      <c r="AS128" s="331"/>
      <c r="AT128" s="331"/>
      <c r="AU128" s="331"/>
      <c r="AV128" s="331"/>
      <c r="AW128" s="331"/>
      <c r="AX128" s="331"/>
      <c r="AY128" s="331"/>
      <c r="AZ128" s="331"/>
      <c r="BA128" s="331"/>
      <c r="BB128" s="331"/>
      <c r="BC128" s="331">
        <f>+BC193</f>
        <v>0</v>
      </c>
      <c r="BD128" s="331">
        <f>+IF($F$6=0,BD193,0)</f>
        <v>0</v>
      </c>
      <c r="BE128" s="331">
        <f>+IF($F$6=0,BE193,IF($F$6=30,BE193,0))</f>
        <v>0</v>
      </c>
      <c r="BF128" s="331">
        <f>+IF($F$6=0,BF193,IF($F$6=30,0,IF($F$6=60,BF193,0)))</f>
        <v>0</v>
      </c>
      <c r="BG128" s="331">
        <f>+IF($F$6=0,BG193,IF($F$6=30,BG193,0))</f>
        <v>0</v>
      </c>
      <c r="BH128" s="331">
        <f>+IF($F$6=0,BH193,0)</f>
        <v>0</v>
      </c>
      <c r="BI128" s="331">
        <f>+BI193</f>
        <v>0</v>
      </c>
      <c r="BJ128" s="331">
        <f>+IF($F$6=0,BJ193,0)</f>
        <v>0</v>
      </c>
      <c r="BK128" s="331">
        <f>+IF($F$6=0,BK193,IF($F$6=30,BK193,0))</f>
        <v>0</v>
      </c>
      <c r="BL128" s="331">
        <f>+IF($F$6=0,BL193,IF($F$6=30,0,IF($F$6=60,BL193,0)))</f>
        <v>0</v>
      </c>
      <c r="BM128" s="331">
        <f>+IF($F$6=0,BM193,IF($F$6=30,BM193,0))</f>
        <v>0</v>
      </c>
      <c r="BN128" s="331"/>
      <c r="BO128" s="331"/>
      <c r="BP128" s="331"/>
      <c r="BQ128" s="331"/>
      <c r="BR128" s="331"/>
      <c r="BS128" s="331"/>
      <c r="BT128" s="331"/>
      <c r="BU128" s="331"/>
      <c r="BV128" s="331"/>
      <c r="BW128" s="331"/>
      <c r="BX128" s="331"/>
      <c r="BY128" s="331"/>
      <c r="BZ128" s="331"/>
      <c r="CA128" s="331"/>
      <c r="CB128" s="331"/>
      <c r="CC128" s="331"/>
      <c r="CD128" s="331"/>
      <c r="CE128" s="331"/>
      <c r="CF128" s="331"/>
      <c r="CG128" s="331"/>
      <c r="CH128" s="331"/>
      <c r="CI128" s="331"/>
      <c r="CJ128" s="331"/>
      <c r="CK128" s="331"/>
      <c r="CL128" s="331"/>
      <c r="CM128" s="331"/>
      <c r="CN128" s="331"/>
      <c r="CO128" s="331"/>
      <c r="CP128" s="331"/>
      <c r="CQ128" s="331"/>
      <c r="CR128" s="331"/>
      <c r="CS128" s="331"/>
      <c r="CT128" s="331"/>
      <c r="CU128" s="331"/>
      <c r="CV128" s="331"/>
      <c r="CW128" s="331"/>
      <c r="CX128" s="331"/>
      <c r="CY128" s="331"/>
      <c r="CZ128" s="331"/>
      <c r="DA128" s="331"/>
      <c r="DB128" s="331"/>
      <c r="DC128" s="331"/>
      <c r="DD128" s="331"/>
      <c r="DE128" s="331"/>
      <c r="DF128" s="331"/>
      <c r="DG128" s="331"/>
      <c r="DH128" s="331"/>
      <c r="DI128" s="331"/>
      <c r="DJ128" s="331"/>
    </row>
    <row r="129" spans="5:115" ht="15.75">
      <c r="E129" s="416">
        <f t="shared" si="26"/>
        <v>45016</v>
      </c>
      <c r="F129" s="331"/>
      <c r="G129" s="331"/>
      <c r="H129" s="331"/>
      <c r="I129" s="331"/>
      <c r="J129" s="331"/>
      <c r="K129" s="331"/>
      <c r="L129" s="331"/>
      <c r="M129" s="331"/>
      <c r="N129" s="331"/>
      <c r="O129" s="331"/>
      <c r="P129" s="331"/>
      <c r="Q129" s="331"/>
      <c r="R129" s="331"/>
      <c r="S129" s="331"/>
      <c r="T129" s="331"/>
      <c r="U129" s="331"/>
      <c r="V129" s="331"/>
      <c r="W129" s="331"/>
      <c r="X129" s="331"/>
      <c r="Y129" s="331"/>
      <c r="Z129" s="331"/>
      <c r="AA129" s="331"/>
      <c r="AB129" s="331"/>
      <c r="AC129" s="331"/>
      <c r="AD129" s="331"/>
      <c r="AE129" s="331"/>
      <c r="AF129" s="331"/>
      <c r="AG129" s="331"/>
      <c r="AH129" s="331"/>
      <c r="AI129" s="331"/>
      <c r="AJ129" s="331"/>
      <c r="AK129" s="331"/>
      <c r="AL129" s="331"/>
      <c r="AM129" s="331"/>
      <c r="AN129" s="331"/>
      <c r="AO129" s="331"/>
      <c r="AP129" s="331"/>
      <c r="AQ129" s="331"/>
      <c r="AR129" s="331"/>
      <c r="AS129" s="331"/>
      <c r="AT129" s="331"/>
      <c r="AU129" s="331"/>
      <c r="AV129" s="331"/>
      <c r="AW129" s="331"/>
      <c r="AX129" s="331"/>
      <c r="AY129" s="331"/>
      <c r="AZ129" s="331"/>
      <c r="BA129" s="331"/>
      <c r="BB129" s="331"/>
      <c r="BC129" s="331"/>
      <c r="BD129" s="331">
        <f>+BD194</f>
        <v>0</v>
      </c>
      <c r="BE129" s="331">
        <f>+IF($F$6=0,BE194,0)</f>
        <v>0</v>
      </c>
      <c r="BF129" s="331">
        <f>+IF($F$6=0,BF194,IF($F$6=30,BF194,0))</f>
        <v>0</v>
      </c>
      <c r="BG129" s="331">
        <f>+IF($F$6=0,BG194,IF($F$6=30,0,IF($F$6=60,BG194,0)))</f>
        <v>0</v>
      </c>
      <c r="BH129" s="331">
        <f>+IF($F$6=0,BH194,IF($F$6=30,BH194,0))</f>
        <v>0</v>
      </c>
      <c r="BI129" s="331">
        <f>+IF($F$6=0,BI194,0)</f>
        <v>0</v>
      </c>
      <c r="BJ129" s="331">
        <f>+BJ194</f>
        <v>0</v>
      </c>
      <c r="BK129" s="331">
        <f>+IF($F$6=0,BK194,0)</f>
        <v>0</v>
      </c>
      <c r="BL129" s="331">
        <f>+IF($F$6=0,BL194,IF($F$6=30,BL194,0))</f>
        <v>0</v>
      </c>
      <c r="BM129" s="331">
        <f>+IF($F$6=0,BM194,IF($F$6=30,0,IF($F$6=60,BM194,0)))</f>
        <v>0</v>
      </c>
      <c r="BN129" s="331"/>
      <c r="BO129" s="331"/>
      <c r="BP129" s="331"/>
      <c r="BQ129" s="331"/>
      <c r="BR129" s="331"/>
      <c r="BS129" s="331"/>
      <c r="BT129" s="331"/>
      <c r="BU129" s="331"/>
      <c r="BV129" s="331"/>
      <c r="BW129" s="331"/>
      <c r="BX129" s="331"/>
      <c r="BY129" s="331"/>
      <c r="BZ129" s="331"/>
      <c r="CA129" s="331"/>
      <c r="CB129" s="331"/>
      <c r="CC129" s="331"/>
      <c r="CD129" s="331"/>
      <c r="CE129" s="331"/>
      <c r="CF129" s="331"/>
      <c r="CG129" s="331"/>
      <c r="CH129" s="331"/>
      <c r="CI129" s="331"/>
      <c r="CJ129" s="331"/>
      <c r="CK129" s="331"/>
      <c r="CL129" s="331"/>
      <c r="CM129" s="331"/>
      <c r="CN129" s="331"/>
      <c r="CO129" s="331"/>
      <c r="CP129" s="331"/>
      <c r="CQ129" s="331"/>
      <c r="CR129" s="331"/>
      <c r="CS129" s="331"/>
      <c r="CT129" s="331"/>
      <c r="CU129" s="331"/>
      <c r="CV129" s="331"/>
      <c r="CW129" s="331"/>
      <c r="CX129" s="331"/>
      <c r="CY129" s="331"/>
      <c r="CZ129" s="331"/>
      <c r="DA129" s="331"/>
      <c r="DB129" s="331"/>
      <c r="DC129" s="331"/>
      <c r="DD129" s="331"/>
      <c r="DE129" s="331"/>
      <c r="DF129" s="331"/>
      <c r="DG129" s="331"/>
      <c r="DH129" s="331"/>
      <c r="DI129" s="331"/>
      <c r="DJ129" s="331"/>
      <c r="DK129" s="331"/>
    </row>
    <row r="130" spans="5:116" ht="15.75">
      <c r="E130" s="416">
        <f>+E129+10</f>
        <v>45026</v>
      </c>
      <c r="F130" s="331"/>
      <c r="G130" s="331"/>
      <c r="H130" s="331"/>
      <c r="I130" s="331"/>
      <c r="J130" s="331"/>
      <c r="K130" s="331"/>
      <c r="L130" s="331"/>
      <c r="M130" s="331"/>
      <c r="N130" s="331"/>
      <c r="O130" s="331"/>
      <c r="P130" s="331"/>
      <c r="Q130" s="331"/>
      <c r="R130" s="331"/>
      <c r="S130" s="331"/>
      <c r="T130" s="331"/>
      <c r="U130" s="331"/>
      <c r="V130" s="331"/>
      <c r="W130" s="331"/>
      <c r="X130" s="331"/>
      <c r="Y130" s="331"/>
      <c r="Z130" s="331"/>
      <c r="AA130" s="331"/>
      <c r="AB130" s="331"/>
      <c r="AC130" s="331"/>
      <c r="AD130" s="331"/>
      <c r="AE130" s="331"/>
      <c r="AF130" s="331"/>
      <c r="AG130" s="331"/>
      <c r="AH130" s="331"/>
      <c r="AI130" s="331"/>
      <c r="AJ130" s="331"/>
      <c r="AK130" s="331"/>
      <c r="AL130" s="331"/>
      <c r="AM130" s="331"/>
      <c r="AN130" s="331"/>
      <c r="AO130" s="331"/>
      <c r="AP130" s="331"/>
      <c r="AQ130" s="331"/>
      <c r="AR130" s="331"/>
      <c r="AS130" s="331"/>
      <c r="AT130" s="331"/>
      <c r="AU130" s="331"/>
      <c r="AV130" s="331"/>
      <c r="AW130" s="331"/>
      <c r="AX130" s="331"/>
      <c r="AY130" s="331"/>
      <c r="AZ130" s="331"/>
      <c r="BA130" s="331"/>
      <c r="BB130" s="331"/>
      <c r="BC130" s="331"/>
      <c r="BD130" s="331"/>
      <c r="BE130" s="331">
        <f>+BE195</f>
        <v>0</v>
      </c>
      <c r="BF130" s="331">
        <f>+IF($F$6=0,BF195,0)</f>
        <v>0</v>
      </c>
      <c r="BG130" s="331">
        <f>+IF($F$6=0,BG195,IF($F$6=30,BG195,0))</f>
        <v>0</v>
      </c>
      <c r="BH130" s="331">
        <f>+IF($F$6=0,BH195,IF($F$6=30,0,IF($F$6=60,BH195,0)))</f>
        <v>0</v>
      </c>
      <c r="BI130" s="331">
        <f>+IF($F$6=0,BI195,IF($F$6=30,BI195,0))</f>
        <v>0</v>
      </c>
      <c r="BJ130" s="331">
        <f>+IF($F$6=0,BJ195,0)</f>
        <v>0</v>
      </c>
      <c r="BK130" s="331">
        <f>+BK195</f>
        <v>0</v>
      </c>
      <c r="BL130" s="331">
        <f>+IF($F$6=0,BL195,0)</f>
        <v>0</v>
      </c>
      <c r="BM130" s="331">
        <f>+IF($F$6=0,BM195,IF($F$6=30,BM195,0))</f>
        <v>0</v>
      </c>
      <c r="BN130" s="331"/>
      <c r="BO130" s="331"/>
      <c r="BP130" s="331"/>
      <c r="BQ130" s="331"/>
      <c r="BR130" s="331"/>
      <c r="BS130" s="331"/>
      <c r="BT130" s="331"/>
      <c r="BU130" s="331"/>
      <c r="BV130" s="331"/>
      <c r="BW130" s="331"/>
      <c r="BX130" s="331"/>
      <c r="BY130" s="331"/>
      <c r="BZ130" s="331"/>
      <c r="CA130" s="331"/>
      <c r="CB130" s="331"/>
      <c r="CC130" s="331"/>
      <c r="CD130" s="331"/>
      <c r="CE130" s="331"/>
      <c r="CF130" s="331"/>
      <c r="CG130" s="331"/>
      <c r="CH130" s="331"/>
      <c r="CI130" s="331"/>
      <c r="CJ130" s="331"/>
      <c r="CK130" s="331"/>
      <c r="CL130" s="331"/>
      <c r="CM130" s="331"/>
      <c r="CN130" s="331"/>
      <c r="CO130" s="331"/>
      <c r="CP130" s="331"/>
      <c r="CQ130" s="331"/>
      <c r="CR130" s="331"/>
      <c r="CS130" s="331"/>
      <c r="CT130" s="331"/>
      <c r="CU130" s="331"/>
      <c r="CV130" s="331"/>
      <c r="CW130" s="331"/>
      <c r="CX130" s="331"/>
      <c r="CY130" s="331"/>
      <c r="CZ130" s="331"/>
      <c r="DA130" s="331"/>
      <c r="DB130" s="331"/>
      <c r="DC130" s="331"/>
      <c r="DD130" s="331"/>
      <c r="DE130" s="331"/>
      <c r="DF130" s="331"/>
      <c r="DG130" s="331"/>
      <c r="DH130" s="331"/>
      <c r="DI130" s="331"/>
      <c r="DJ130" s="331"/>
      <c r="DK130" s="331"/>
      <c r="DL130" s="331"/>
    </row>
    <row r="131" spans="5:117" ht="15.75">
      <c r="E131" s="416">
        <f t="shared" si="26"/>
        <v>45057</v>
      </c>
      <c r="F131" s="331"/>
      <c r="G131" s="331"/>
      <c r="H131" s="331"/>
      <c r="I131" s="331"/>
      <c r="J131" s="331"/>
      <c r="K131" s="331"/>
      <c r="L131" s="331"/>
      <c r="M131" s="331"/>
      <c r="N131" s="331"/>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c r="AM131" s="331"/>
      <c r="AN131" s="331"/>
      <c r="AO131" s="331"/>
      <c r="AP131" s="331"/>
      <c r="AQ131" s="331"/>
      <c r="AR131" s="331"/>
      <c r="AS131" s="331"/>
      <c r="AT131" s="331"/>
      <c r="AU131" s="331"/>
      <c r="AV131" s="331"/>
      <c r="AW131" s="331"/>
      <c r="AX131" s="331"/>
      <c r="AY131" s="331"/>
      <c r="AZ131" s="331"/>
      <c r="BA131" s="331"/>
      <c r="BB131" s="331"/>
      <c r="BC131" s="331"/>
      <c r="BD131" s="331"/>
      <c r="BE131" s="331"/>
      <c r="BF131" s="331">
        <f>+BF196</f>
        <v>0</v>
      </c>
      <c r="BG131" s="331">
        <f>+IF($F$6=0,BG196,0)</f>
        <v>0</v>
      </c>
      <c r="BH131" s="331">
        <f>+IF($F$6=0,BH196,IF($F$6=30,BH196,0))</f>
        <v>0</v>
      </c>
      <c r="BI131" s="331">
        <f>+IF($F$6=0,BI196,IF($F$6=30,0,IF($F$6=60,BI196,0)))</f>
        <v>0</v>
      </c>
      <c r="BJ131" s="331">
        <f>+IF($F$6=0,BJ196,IF($F$6=30,BJ196,0))</f>
        <v>0</v>
      </c>
      <c r="BK131" s="331">
        <f>+IF($F$6=0,BK196,0)</f>
        <v>0</v>
      </c>
      <c r="BL131" s="331">
        <f>+BL196</f>
        <v>0</v>
      </c>
      <c r="BM131" s="331">
        <f>+IF($F$6=0,BM196,0)</f>
        <v>0</v>
      </c>
      <c r="BN131" s="331"/>
      <c r="BO131" s="331"/>
      <c r="BP131" s="331"/>
      <c r="BQ131" s="331"/>
      <c r="BR131" s="331"/>
      <c r="BS131" s="331"/>
      <c r="BT131" s="331"/>
      <c r="BU131" s="331"/>
      <c r="BV131" s="331"/>
      <c r="BW131" s="331"/>
      <c r="BX131" s="331"/>
      <c r="BY131" s="331"/>
      <c r="BZ131" s="331"/>
      <c r="CA131" s="331"/>
      <c r="CB131" s="331"/>
      <c r="CC131" s="331"/>
      <c r="CD131" s="331"/>
      <c r="CE131" s="331"/>
      <c r="CF131" s="331"/>
      <c r="CG131" s="331"/>
      <c r="CH131" s="331"/>
      <c r="CI131" s="331"/>
      <c r="CJ131" s="331"/>
      <c r="CK131" s="331"/>
      <c r="CL131" s="331"/>
      <c r="CM131" s="331"/>
      <c r="CN131" s="331"/>
      <c r="CO131" s="331"/>
      <c r="CP131" s="331"/>
      <c r="CQ131" s="331"/>
      <c r="CR131" s="331"/>
      <c r="CS131" s="331"/>
      <c r="CT131" s="331"/>
      <c r="CU131" s="331"/>
      <c r="CV131" s="331"/>
      <c r="CW131" s="331"/>
      <c r="CX131" s="331"/>
      <c r="CY131" s="331"/>
      <c r="CZ131" s="331"/>
      <c r="DA131" s="331"/>
      <c r="DB131" s="331"/>
      <c r="DC131" s="331"/>
      <c r="DD131" s="331"/>
      <c r="DE131" s="331"/>
      <c r="DF131" s="331"/>
      <c r="DG131" s="331"/>
      <c r="DH131" s="331"/>
      <c r="DI131" s="331"/>
      <c r="DJ131" s="331"/>
      <c r="DK131" s="331"/>
      <c r="DL131" s="331"/>
      <c r="DM131" s="331"/>
    </row>
    <row r="132" spans="5:118" ht="15.75">
      <c r="E132" s="416">
        <f t="shared" si="26"/>
        <v>45088</v>
      </c>
      <c r="F132" s="331"/>
      <c r="G132" s="331"/>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1"/>
      <c r="AY132" s="331"/>
      <c r="AZ132" s="331"/>
      <c r="BA132" s="331"/>
      <c r="BB132" s="331"/>
      <c r="BC132" s="331"/>
      <c r="BD132" s="331"/>
      <c r="BE132" s="331"/>
      <c r="BF132" s="331"/>
      <c r="BG132" s="331">
        <f>+BG197</f>
        <v>0</v>
      </c>
      <c r="BH132" s="331">
        <f>+IF($F$6=0,BH197,0)</f>
        <v>0</v>
      </c>
      <c r="BI132" s="331">
        <f>+IF($F$6=0,BI197,IF($F$6=30,BI197,0))</f>
        <v>0</v>
      </c>
      <c r="BJ132" s="331">
        <f>+IF($F$6=0,BJ197,IF($F$6=30,0,IF($F$6=60,BJ197,0)))</f>
        <v>0</v>
      </c>
      <c r="BK132" s="331">
        <f>+IF($F$6=0,BK197,IF($F$6=30,BK197,0))</f>
        <v>0</v>
      </c>
      <c r="BL132" s="331">
        <f>+IF($F$6=0,BL197,0)</f>
        <v>0</v>
      </c>
      <c r="BM132" s="331">
        <f>+BM197</f>
        <v>0</v>
      </c>
      <c r="BN132" s="331"/>
      <c r="BO132" s="331"/>
      <c r="BP132" s="331"/>
      <c r="BQ132" s="331"/>
      <c r="BR132" s="331"/>
      <c r="BS132" s="331"/>
      <c r="BT132" s="331"/>
      <c r="BU132" s="331"/>
      <c r="BV132" s="331"/>
      <c r="BW132" s="331"/>
      <c r="BX132" s="331"/>
      <c r="BY132" s="331"/>
      <c r="BZ132" s="331"/>
      <c r="CA132" s="331"/>
      <c r="CB132" s="331"/>
      <c r="CC132" s="331"/>
      <c r="CD132" s="331"/>
      <c r="CE132" s="331"/>
      <c r="CF132" s="331"/>
      <c r="CG132" s="331"/>
      <c r="CH132" s="331"/>
      <c r="CI132" s="331"/>
      <c r="CJ132" s="331"/>
      <c r="CK132" s="331"/>
      <c r="CL132" s="331"/>
      <c r="CM132" s="331"/>
      <c r="CN132" s="331"/>
      <c r="CO132" s="331"/>
      <c r="CP132" s="331"/>
      <c r="CQ132" s="331"/>
      <c r="CR132" s="331"/>
      <c r="CS132" s="331"/>
      <c r="CT132" s="331"/>
      <c r="CU132" s="331"/>
      <c r="CV132" s="331"/>
      <c r="CW132" s="331"/>
      <c r="CX132" s="331"/>
      <c r="CY132" s="331"/>
      <c r="CZ132" s="331"/>
      <c r="DA132" s="331"/>
      <c r="DB132" s="331"/>
      <c r="DC132" s="331"/>
      <c r="DD132" s="331"/>
      <c r="DE132" s="331"/>
      <c r="DF132" s="331"/>
      <c r="DG132" s="331"/>
      <c r="DH132" s="331"/>
      <c r="DI132" s="331"/>
      <c r="DJ132" s="331"/>
      <c r="DK132" s="331"/>
      <c r="DL132" s="331"/>
      <c r="DM132" s="331"/>
      <c r="DN132" s="331"/>
    </row>
    <row r="133" spans="5:119" ht="15.75">
      <c r="E133" s="416">
        <f t="shared" si="26"/>
        <v>45119</v>
      </c>
      <c r="F133" s="331"/>
      <c r="G133" s="331"/>
      <c r="H133" s="331"/>
      <c r="I133" s="331"/>
      <c r="J133" s="331"/>
      <c r="K133" s="331"/>
      <c r="L133" s="331"/>
      <c r="M133" s="331"/>
      <c r="N133" s="331"/>
      <c r="O133" s="331"/>
      <c r="P133" s="331"/>
      <c r="Q133" s="331"/>
      <c r="R133" s="331"/>
      <c r="S133" s="331"/>
      <c r="T133" s="331"/>
      <c r="U133" s="331"/>
      <c r="V133" s="331"/>
      <c r="W133" s="331"/>
      <c r="X133" s="331"/>
      <c r="Y133" s="331"/>
      <c r="Z133" s="331"/>
      <c r="AA133" s="331"/>
      <c r="AB133" s="331"/>
      <c r="AC133" s="331"/>
      <c r="AD133" s="331"/>
      <c r="AE133" s="331"/>
      <c r="AF133" s="331"/>
      <c r="AG133" s="331"/>
      <c r="AH133" s="331"/>
      <c r="AI133" s="331"/>
      <c r="AJ133" s="331"/>
      <c r="AK133" s="331"/>
      <c r="AL133" s="331"/>
      <c r="AM133" s="331"/>
      <c r="AN133" s="331"/>
      <c r="AO133" s="331"/>
      <c r="AP133" s="331"/>
      <c r="AQ133" s="331"/>
      <c r="AR133" s="331"/>
      <c r="AS133" s="331"/>
      <c r="AT133" s="331"/>
      <c r="AU133" s="331"/>
      <c r="AV133" s="331"/>
      <c r="AW133" s="331"/>
      <c r="AX133" s="331"/>
      <c r="AY133" s="331"/>
      <c r="AZ133" s="331"/>
      <c r="BA133" s="331"/>
      <c r="BB133" s="331"/>
      <c r="BC133" s="331"/>
      <c r="BD133" s="331"/>
      <c r="BE133" s="331"/>
      <c r="BF133" s="331"/>
      <c r="BG133" s="331"/>
      <c r="BH133" s="331">
        <f>+BH198</f>
        <v>0</v>
      </c>
      <c r="BI133" s="331">
        <f>+IF($F$6=0,BI198,0)</f>
        <v>0</v>
      </c>
      <c r="BJ133" s="331">
        <f>+IF($F$6=0,BJ198,IF($F$6=30,BJ198,0))</f>
        <v>0</v>
      </c>
      <c r="BK133" s="331">
        <f>+IF($F$6=0,BK198,IF($F$6=30,0,IF($F$6=60,BK198,0)))</f>
        <v>0</v>
      </c>
      <c r="BL133" s="331">
        <f>+IF($F$6=0,BL198,IF($F$6=30,BL198,0))</f>
        <v>0</v>
      </c>
      <c r="BM133" s="331">
        <f>+IF($F$6=0,BM198,0)</f>
        <v>0</v>
      </c>
      <c r="BN133" s="331"/>
      <c r="BO133" s="331"/>
      <c r="BP133" s="331"/>
      <c r="BQ133" s="331"/>
      <c r="BR133" s="331"/>
      <c r="BS133" s="331"/>
      <c r="BT133" s="331"/>
      <c r="BU133" s="331"/>
      <c r="BV133" s="331"/>
      <c r="BW133" s="331"/>
      <c r="BX133" s="331"/>
      <c r="BY133" s="331"/>
      <c r="BZ133" s="331"/>
      <c r="CA133" s="331"/>
      <c r="CB133" s="331"/>
      <c r="CC133" s="331"/>
      <c r="CD133" s="331"/>
      <c r="CE133" s="331"/>
      <c r="CF133" s="331"/>
      <c r="CG133" s="331"/>
      <c r="CH133" s="331"/>
      <c r="CI133" s="331"/>
      <c r="CJ133" s="331"/>
      <c r="CK133" s="331"/>
      <c r="CL133" s="331"/>
      <c r="CM133" s="331"/>
      <c r="CN133" s="331"/>
      <c r="CO133" s="331"/>
      <c r="CP133" s="331"/>
      <c r="CQ133" s="331"/>
      <c r="CR133" s="331"/>
      <c r="CS133" s="331"/>
      <c r="CT133" s="331"/>
      <c r="CU133" s="331"/>
      <c r="CV133" s="331"/>
      <c r="CW133" s="331"/>
      <c r="CX133" s="331"/>
      <c r="CY133" s="331"/>
      <c r="CZ133" s="331"/>
      <c r="DA133" s="331"/>
      <c r="DB133" s="331"/>
      <c r="DC133" s="331"/>
      <c r="DD133" s="331"/>
      <c r="DE133" s="331"/>
      <c r="DF133" s="331"/>
      <c r="DG133" s="331"/>
      <c r="DH133" s="331"/>
      <c r="DI133" s="331"/>
      <c r="DJ133" s="331"/>
      <c r="DK133" s="331"/>
      <c r="DL133" s="331"/>
      <c r="DM133" s="331"/>
      <c r="DN133" s="331"/>
      <c r="DO133" s="331"/>
    </row>
    <row r="134" spans="5:120" ht="15.75">
      <c r="E134" s="416">
        <f t="shared" si="26"/>
        <v>45150</v>
      </c>
      <c r="F134" s="331"/>
      <c r="G134" s="331"/>
      <c r="H134" s="331"/>
      <c r="I134" s="331"/>
      <c r="J134" s="331"/>
      <c r="K134" s="331"/>
      <c r="L134" s="331"/>
      <c r="M134" s="331"/>
      <c r="N134" s="331"/>
      <c r="O134" s="331"/>
      <c r="P134" s="331"/>
      <c r="Q134" s="331"/>
      <c r="R134" s="331"/>
      <c r="S134" s="331"/>
      <c r="T134" s="331"/>
      <c r="U134" s="331"/>
      <c r="V134" s="331"/>
      <c r="W134" s="331"/>
      <c r="X134" s="331"/>
      <c r="Y134" s="331"/>
      <c r="Z134" s="331"/>
      <c r="AA134" s="331"/>
      <c r="AB134" s="331"/>
      <c r="AC134" s="331"/>
      <c r="AD134" s="331"/>
      <c r="AE134" s="331"/>
      <c r="AF134" s="331"/>
      <c r="AG134" s="331"/>
      <c r="AH134" s="331"/>
      <c r="AI134" s="331"/>
      <c r="AJ134" s="331"/>
      <c r="AK134" s="331"/>
      <c r="AL134" s="331"/>
      <c r="AM134" s="331"/>
      <c r="AN134" s="331"/>
      <c r="AO134" s="331"/>
      <c r="AP134" s="331"/>
      <c r="AQ134" s="331"/>
      <c r="AR134" s="331"/>
      <c r="AS134" s="331"/>
      <c r="AT134" s="331"/>
      <c r="AU134" s="331"/>
      <c r="AV134" s="331"/>
      <c r="AW134" s="331"/>
      <c r="AX134" s="331"/>
      <c r="AY134" s="331"/>
      <c r="AZ134" s="331"/>
      <c r="BA134" s="331"/>
      <c r="BB134" s="331"/>
      <c r="BC134" s="331"/>
      <c r="BD134" s="331"/>
      <c r="BE134" s="331"/>
      <c r="BF134" s="331"/>
      <c r="BG134" s="331"/>
      <c r="BH134" s="331"/>
      <c r="BI134" s="331">
        <f>+BI199</f>
        <v>0</v>
      </c>
      <c r="BJ134" s="331">
        <f>+IF($F$6=0,BJ199,0)</f>
        <v>0</v>
      </c>
      <c r="BK134" s="331">
        <f>+IF($F$6=0,BK199,IF($F$6=30,BK199,0))</f>
        <v>0</v>
      </c>
      <c r="BL134" s="331">
        <f>+IF($F$6=0,BL199,IF($F$6=30,0,IF($F$6=60,BL199,0)))</f>
        <v>0</v>
      </c>
      <c r="BM134" s="331">
        <f>+IF($F$6=0,BM199,IF($F$6=30,BM199,0))</f>
        <v>0</v>
      </c>
      <c r="BN134" s="331"/>
      <c r="BO134" s="331"/>
      <c r="BP134" s="331"/>
      <c r="BQ134" s="331"/>
      <c r="BR134" s="331"/>
      <c r="BS134" s="331"/>
      <c r="BT134" s="331"/>
      <c r="BU134" s="331"/>
      <c r="BV134" s="331"/>
      <c r="BW134" s="331"/>
      <c r="BX134" s="331"/>
      <c r="BY134" s="331"/>
      <c r="BZ134" s="331"/>
      <c r="CA134" s="331"/>
      <c r="CB134" s="331"/>
      <c r="CC134" s="331"/>
      <c r="CD134" s="331"/>
      <c r="CE134" s="331"/>
      <c r="CF134" s="331"/>
      <c r="CG134" s="331"/>
      <c r="CH134" s="331"/>
      <c r="CI134" s="331"/>
      <c r="CJ134" s="331"/>
      <c r="CK134" s="331"/>
      <c r="CL134" s="331"/>
      <c r="CM134" s="331"/>
      <c r="CN134" s="331"/>
      <c r="CO134" s="331"/>
      <c r="CP134" s="331"/>
      <c r="CQ134" s="331"/>
      <c r="CR134" s="331"/>
      <c r="CS134" s="331"/>
      <c r="CT134" s="331"/>
      <c r="CU134" s="331"/>
      <c r="CV134" s="331"/>
      <c r="CW134" s="331"/>
      <c r="CX134" s="331"/>
      <c r="CY134" s="331"/>
      <c r="CZ134" s="331"/>
      <c r="DA134" s="331"/>
      <c r="DB134" s="331"/>
      <c r="DC134" s="331"/>
      <c r="DD134" s="331"/>
      <c r="DE134" s="331"/>
      <c r="DF134" s="331"/>
      <c r="DG134" s="331"/>
      <c r="DH134" s="331"/>
      <c r="DI134" s="331"/>
      <c r="DJ134" s="331"/>
      <c r="DK134" s="331"/>
      <c r="DL134" s="331"/>
      <c r="DM134" s="331"/>
      <c r="DN134" s="331"/>
      <c r="DO134" s="331"/>
      <c r="DP134" s="331"/>
    </row>
    <row r="135" spans="5:121" ht="15.75">
      <c r="E135" s="416">
        <f t="shared" si="26"/>
        <v>45181</v>
      </c>
      <c r="F135" s="331"/>
      <c r="G135" s="331"/>
      <c r="H135" s="331"/>
      <c r="I135" s="331"/>
      <c r="J135" s="331"/>
      <c r="K135" s="331"/>
      <c r="L135" s="331"/>
      <c r="M135" s="331"/>
      <c r="N135" s="331"/>
      <c r="O135" s="331"/>
      <c r="P135" s="331"/>
      <c r="Q135" s="331"/>
      <c r="R135" s="331"/>
      <c r="S135" s="331"/>
      <c r="T135" s="331"/>
      <c r="U135" s="331"/>
      <c r="V135" s="331"/>
      <c r="W135" s="331"/>
      <c r="X135" s="331"/>
      <c r="Y135" s="331"/>
      <c r="Z135" s="331"/>
      <c r="AA135" s="331"/>
      <c r="AB135" s="331"/>
      <c r="AC135" s="331"/>
      <c r="AD135" s="331"/>
      <c r="AE135" s="331"/>
      <c r="AF135" s="331"/>
      <c r="AG135" s="331"/>
      <c r="AH135" s="331"/>
      <c r="AI135" s="331"/>
      <c r="AJ135" s="331"/>
      <c r="AK135" s="331"/>
      <c r="AL135" s="331"/>
      <c r="AM135" s="331"/>
      <c r="AN135" s="331"/>
      <c r="AO135" s="331"/>
      <c r="AP135" s="331"/>
      <c r="AQ135" s="331"/>
      <c r="AR135" s="331"/>
      <c r="AS135" s="331"/>
      <c r="AT135" s="331"/>
      <c r="AU135" s="331"/>
      <c r="AV135" s="331"/>
      <c r="AW135" s="331"/>
      <c r="AX135" s="331"/>
      <c r="AY135" s="331"/>
      <c r="AZ135" s="331"/>
      <c r="BA135" s="331"/>
      <c r="BB135" s="331"/>
      <c r="BC135" s="331"/>
      <c r="BD135" s="331"/>
      <c r="BE135" s="331"/>
      <c r="BF135" s="331"/>
      <c r="BG135" s="331"/>
      <c r="BH135" s="331"/>
      <c r="BI135" s="331"/>
      <c r="BJ135" s="331">
        <f>+BJ200</f>
        <v>0</v>
      </c>
      <c r="BK135" s="331">
        <f>+IF($F$6=0,BK200,0)</f>
        <v>0</v>
      </c>
      <c r="BL135" s="331">
        <f>+IF($F$6=0,BL200,IF($F$6=30,BL200,0))</f>
        <v>0</v>
      </c>
      <c r="BM135" s="331">
        <f>+IF($F$6=0,BM200,IF($F$6=30,0,IF($F$6=60,BM200,0)))</f>
        <v>0</v>
      </c>
      <c r="BN135" s="331"/>
      <c r="BO135" s="331"/>
      <c r="BP135" s="331"/>
      <c r="BQ135" s="331"/>
      <c r="BR135" s="331"/>
      <c r="BS135" s="331"/>
      <c r="BT135" s="331"/>
      <c r="BU135" s="331"/>
      <c r="BV135" s="331"/>
      <c r="BW135" s="331"/>
      <c r="BX135" s="331"/>
      <c r="BY135" s="331"/>
      <c r="BZ135" s="331"/>
      <c r="CA135" s="331"/>
      <c r="CB135" s="331"/>
      <c r="CC135" s="331"/>
      <c r="CD135" s="331"/>
      <c r="CE135" s="331"/>
      <c r="CF135" s="331"/>
      <c r="CG135" s="331"/>
      <c r="CH135" s="331"/>
      <c r="CI135" s="331"/>
      <c r="CJ135" s="331"/>
      <c r="CK135" s="331"/>
      <c r="CL135" s="331"/>
      <c r="CM135" s="331"/>
      <c r="CN135" s="331"/>
      <c r="CO135" s="331"/>
      <c r="CP135" s="331"/>
      <c r="CQ135" s="331"/>
      <c r="CR135" s="331"/>
      <c r="CS135" s="331"/>
      <c r="CT135" s="331"/>
      <c r="CU135" s="331"/>
      <c r="CV135" s="331"/>
      <c r="CW135" s="331"/>
      <c r="CX135" s="331"/>
      <c r="CY135" s="331"/>
      <c r="CZ135" s="331"/>
      <c r="DA135" s="331"/>
      <c r="DB135" s="331"/>
      <c r="DC135" s="331"/>
      <c r="DD135" s="331"/>
      <c r="DE135" s="331"/>
      <c r="DF135" s="331"/>
      <c r="DG135" s="331"/>
      <c r="DH135" s="331"/>
      <c r="DI135" s="331"/>
      <c r="DJ135" s="331"/>
      <c r="DK135" s="331"/>
      <c r="DL135" s="331"/>
      <c r="DM135" s="331"/>
      <c r="DN135" s="331"/>
      <c r="DO135" s="331"/>
      <c r="DP135" s="331"/>
      <c r="DQ135" s="331"/>
    </row>
    <row r="136" spans="5:122" ht="15.75">
      <c r="E136" s="416">
        <f t="shared" si="26"/>
        <v>45212</v>
      </c>
      <c r="F136" s="331"/>
      <c r="G136" s="331"/>
      <c r="H136" s="331"/>
      <c r="I136" s="331"/>
      <c r="J136" s="331"/>
      <c r="K136" s="331"/>
      <c r="L136" s="331"/>
      <c r="M136" s="331"/>
      <c r="N136" s="331"/>
      <c r="O136" s="331"/>
      <c r="P136" s="331"/>
      <c r="Q136" s="331"/>
      <c r="R136" s="331"/>
      <c r="S136" s="331"/>
      <c r="T136" s="331"/>
      <c r="U136" s="331"/>
      <c r="V136" s="331"/>
      <c r="W136" s="331"/>
      <c r="X136" s="331"/>
      <c r="Y136" s="331"/>
      <c r="Z136" s="331"/>
      <c r="AA136" s="331"/>
      <c r="AB136" s="331"/>
      <c r="AC136" s="331"/>
      <c r="AD136" s="331"/>
      <c r="AE136" s="331"/>
      <c r="AF136" s="331"/>
      <c r="AG136" s="331"/>
      <c r="AH136" s="331"/>
      <c r="AI136" s="331"/>
      <c r="AJ136" s="331"/>
      <c r="AK136" s="331"/>
      <c r="AL136" s="331"/>
      <c r="AM136" s="331"/>
      <c r="AN136" s="331"/>
      <c r="AO136" s="331"/>
      <c r="AP136" s="331"/>
      <c r="AQ136" s="331"/>
      <c r="AR136" s="331"/>
      <c r="AS136" s="331"/>
      <c r="AT136" s="331"/>
      <c r="AU136" s="331"/>
      <c r="AV136" s="331"/>
      <c r="AW136" s="331"/>
      <c r="AX136" s="331"/>
      <c r="AY136" s="331"/>
      <c r="AZ136" s="331"/>
      <c r="BA136" s="331"/>
      <c r="BB136" s="331"/>
      <c r="BC136" s="331"/>
      <c r="BD136" s="331"/>
      <c r="BE136" s="331"/>
      <c r="BF136" s="331"/>
      <c r="BG136" s="331"/>
      <c r="BH136" s="331"/>
      <c r="BI136" s="331"/>
      <c r="BJ136" s="331"/>
      <c r="BK136" s="331">
        <f>+BK201</f>
        <v>0</v>
      </c>
      <c r="BL136" s="331">
        <f>+IF($F$6=0,BL201,0)</f>
        <v>0</v>
      </c>
      <c r="BM136" s="331">
        <f>+IF($F$6=0,BM201,IF($F$6=30,BM201,0))</f>
        <v>0</v>
      </c>
      <c r="BN136" s="331"/>
      <c r="BO136" s="331"/>
      <c r="BP136" s="331"/>
      <c r="BQ136" s="331"/>
      <c r="BR136" s="331"/>
      <c r="BS136" s="331"/>
      <c r="BT136" s="331"/>
      <c r="BU136" s="331"/>
      <c r="BV136" s="331"/>
      <c r="BW136" s="331"/>
      <c r="BX136" s="331"/>
      <c r="BY136" s="331"/>
      <c r="BZ136" s="331"/>
      <c r="CA136" s="331"/>
      <c r="CB136" s="331"/>
      <c r="CC136" s="331"/>
      <c r="CD136" s="331"/>
      <c r="CE136" s="331"/>
      <c r="CF136" s="331"/>
      <c r="CG136" s="331"/>
      <c r="CH136" s="331"/>
      <c r="CI136" s="331"/>
      <c r="CJ136" s="331"/>
      <c r="CK136" s="331"/>
      <c r="CL136" s="331"/>
      <c r="CM136" s="331"/>
      <c r="CN136" s="331"/>
      <c r="CO136" s="331"/>
      <c r="CP136" s="331"/>
      <c r="CQ136" s="331"/>
      <c r="CR136" s="331"/>
      <c r="CS136" s="331"/>
      <c r="CT136" s="331"/>
      <c r="CU136" s="331"/>
      <c r="CV136" s="331"/>
      <c r="CW136" s="331"/>
      <c r="CX136" s="331"/>
      <c r="CY136" s="331"/>
      <c r="CZ136" s="331"/>
      <c r="DA136" s="331"/>
      <c r="DB136" s="331"/>
      <c r="DC136" s="331"/>
      <c r="DD136" s="331"/>
      <c r="DE136" s="331"/>
      <c r="DF136" s="331"/>
      <c r="DG136" s="331"/>
      <c r="DH136" s="331"/>
      <c r="DI136" s="331"/>
      <c r="DJ136" s="331"/>
      <c r="DK136" s="331"/>
      <c r="DL136" s="331"/>
      <c r="DM136" s="331"/>
      <c r="DN136" s="331"/>
      <c r="DO136" s="331"/>
      <c r="DP136" s="331"/>
      <c r="DQ136" s="331"/>
      <c r="DR136" s="331"/>
    </row>
    <row r="137" spans="5:123" ht="15.75">
      <c r="E137" s="416">
        <f t="shared" si="26"/>
        <v>45243</v>
      </c>
      <c r="F137" s="331"/>
      <c r="G137" s="331"/>
      <c r="H137" s="331"/>
      <c r="I137" s="331"/>
      <c r="J137" s="331"/>
      <c r="K137" s="331"/>
      <c r="L137" s="331"/>
      <c r="M137" s="331"/>
      <c r="N137" s="331"/>
      <c r="O137" s="331"/>
      <c r="P137" s="331"/>
      <c r="Q137" s="331"/>
      <c r="R137" s="331"/>
      <c r="S137" s="331"/>
      <c r="T137" s="331"/>
      <c r="U137" s="331"/>
      <c r="V137" s="331"/>
      <c r="W137" s="331"/>
      <c r="X137" s="331"/>
      <c r="Y137" s="331"/>
      <c r="Z137" s="331"/>
      <c r="AA137" s="331"/>
      <c r="AB137" s="331"/>
      <c r="AC137" s="331"/>
      <c r="AD137" s="331"/>
      <c r="AE137" s="331"/>
      <c r="AF137" s="331"/>
      <c r="AG137" s="331"/>
      <c r="AH137" s="331"/>
      <c r="AI137" s="331"/>
      <c r="AJ137" s="331"/>
      <c r="AK137" s="331"/>
      <c r="AL137" s="331"/>
      <c r="AM137" s="331"/>
      <c r="AN137" s="331"/>
      <c r="AO137" s="331"/>
      <c r="AP137" s="331"/>
      <c r="AQ137" s="331"/>
      <c r="AR137" s="331"/>
      <c r="AS137" s="331"/>
      <c r="AT137" s="331"/>
      <c r="AU137" s="331"/>
      <c r="AV137" s="331"/>
      <c r="AW137" s="331"/>
      <c r="AX137" s="331"/>
      <c r="AY137" s="331"/>
      <c r="AZ137" s="331"/>
      <c r="BA137" s="331"/>
      <c r="BB137" s="331"/>
      <c r="BC137" s="331"/>
      <c r="BD137" s="331"/>
      <c r="BE137" s="331"/>
      <c r="BF137" s="331"/>
      <c r="BG137" s="331"/>
      <c r="BH137" s="331"/>
      <c r="BI137" s="331"/>
      <c r="BJ137" s="331"/>
      <c r="BK137" s="331"/>
      <c r="BL137" s="331">
        <f>+BL202</f>
        <v>0</v>
      </c>
      <c r="BM137" s="331">
        <f>+IF($F$6=0,BM202,0)</f>
        <v>0</v>
      </c>
      <c r="BN137" s="331"/>
      <c r="BO137" s="331"/>
      <c r="BP137" s="331"/>
      <c r="BQ137" s="331"/>
      <c r="BR137" s="331"/>
      <c r="BS137" s="331"/>
      <c r="BT137" s="331"/>
      <c r="BU137" s="331"/>
      <c r="BV137" s="331"/>
      <c r="BW137" s="331"/>
      <c r="BX137" s="331"/>
      <c r="BY137" s="331"/>
      <c r="BZ137" s="331"/>
      <c r="CA137" s="331"/>
      <c r="CB137" s="331"/>
      <c r="CC137" s="331"/>
      <c r="CD137" s="331"/>
      <c r="CE137" s="331"/>
      <c r="CF137" s="331"/>
      <c r="CG137" s="331"/>
      <c r="CH137" s="331"/>
      <c r="CI137" s="331"/>
      <c r="CJ137" s="331"/>
      <c r="CK137" s="331"/>
      <c r="CL137" s="331"/>
      <c r="CM137" s="331"/>
      <c r="CN137" s="331"/>
      <c r="CO137" s="331"/>
      <c r="CP137" s="331"/>
      <c r="CQ137" s="331"/>
      <c r="CR137" s="331"/>
      <c r="CS137" s="331"/>
      <c r="CT137" s="331"/>
      <c r="CU137" s="331"/>
      <c r="CV137" s="331"/>
      <c r="CW137" s="331"/>
      <c r="CX137" s="331"/>
      <c r="CY137" s="331"/>
      <c r="CZ137" s="331"/>
      <c r="DA137" s="331"/>
      <c r="DB137" s="331"/>
      <c r="DC137" s="331"/>
      <c r="DD137" s="331"/>
      <c r="DE137" s="331"/>
      <c r="DF137" s="331"/>
      <c r="DG137" s="331"/>
      <c r="DH137" s="331"/>
      <c r="DI137" s="331"/>
      <c r="DJ137" s="331"/>
      <c r="DK137" s="331"/>
      <c r="DL137" s="331"/>
      <c r="DM137" s="331"/>
      <c r="DN137" s="331"/>
      <c r="DO137" s="331"/>
      <c r="DP137" s="331"/>
      <c r="DQ137" s="331"/>
      <c r="DR137" s="331"/>
      <c r="DS137" s="331"/>
    </row>
    <row r="138" spans="5:124" ht="15.75">
      <c r="E138" s="416">
        <f t="shared" si="26"/>
        <v>45274</v>
      </c>
      <c r="F138" s="331"/>
      <c r="G138" s="331"/>
      <c r="H138" s="331"/>
      <c r="I138" s="331"/>
      <c r="J138" s="331"/>
      <c r="K138" s="331"/>
      <c r="L138" s="331"/>
      <c r="M138" s="331"/>
      <c r="N138" s="331"/>
      <c r="O138" s="331"/>
      <c r="P138" s="331"/>
      <c r="Q138" s="331"/>
      <c r="R138" s="331"/>
      <c r="S138" s="331"/>
      <c r="T138" s="331"/>
      <c r="U138" s="331"/>
      <c r="V138" s="331"/>
      <c r="W138" s="331"/>
      <c r="X138" s="331"/>
      <c r="Y138" s="331"/>
      <c r="Z138" s="331"/>
      <c r="AA138" s="331"/>
      <c r="AB138" s="331"/>
      <c r="AC138" s="331"/>
      <c r="AD138" s="331"/>
      <c r="AE138" s="331"/>
      <c r="AF138" s="331"/>
      <c r="AG138" s="331"/>
      <c r="AH138" s="331"/>
      <c r="AI138" s="331"/>
      <c r="AJ138" s="331"/>
      <c r="AK138" s="331"/>
      <c r="AL138" s="331"/>
      <c r="AM138" s="331"/>
      <c r="AN138" s="331"/>
      <c r="AO138" s="331"/>
      <c r="AP138" s="331"/>
      <c r="AQ138" s="331"/>
      <c r="AR138" s="331"/>
      <c r="AS138" s="331"/>
      <c r="AT138" s="331"/>
      <c r="AU138" s="331"/>
      <c r="AV138" s="331"/>
      <c r="AW138" s="331"/>
      <c r="AX138" s="331"/>
      <c r="AY138" s="331"/>
      <c r="AZ138" s="331"/>
      <c r="BA138" s="331"/>
      <c r="BB138" s="331"/>
      <c r="BC138" s="331"/>
      <c r="BD138" s="331"/>
      <c r="BE138" s="331"/>
      <c r="BF138" s="331"/>
      <c r="BG138" s="331"/>
      <c r="BH138" s="331"/>
      <c r="BI138" s="331"/>
      <c r="BJ138" s="331"/>
      <c r="BK138" s="331"/>
      <c r="BL138" s="331"/>
      <c r="BM138" s="331">
        <f>+BM203</f>
        <v>0</v>
      </c>
      <c r="BN138" s="331"/>
      <c r="BO138" s="331"/>
      <c r="BP138" s="331"/>
      <c r="BQ138" s="331"/>
      <c r="BR138" s="331"/>
      <c r="BS138" s="331"/>
      <c r="BT138" s="331"/>
      <c r="BU138" s="331"/>
      <c r="BV138" s="331"/>
      <c r="BW138" s="331"/>
      <c r="BX138" s="331"/>
      <c r="BY138" s="331"/>
      <c r="BZ138" s="331"/>
      <c r="CA138" s="331"/>
      <c r="CB138" s="331"/>
      <c r="CC138" s="331"/>
      <c r="CD138" s="331"/>
      <c r="CE138" s="331"/>
      <c r="CF138" s="331"/>
      <c r="CG138" s="331"/>
      <c r="CH138" s="331"/>
      <c r="CI138" s="331"/>
      <c r="CJ138" s="331"/>
      <c r="CK138" s="331"/>
      <c r="CL138" s="331"/>
      <c r="CM138" s="331"/>
      <c r="CN138" s="331"/>
      <c r="CO138" s="331"/>
      <c r="CP138" s="331"/>
      <c r="CQ138" s="331"/>
      <c r="CR138" s="331"/>
      <c r="CS138" s="331"/>
      <c r="CT138" s="331"/>
      <c r="CU138" s="331"/>
      <c r="CV138" s="331"/>
      <c r="CW138" s="331"/>
      <c r="CX138" s="331"/>
      <c r="CY138" s="331"/>
      <c r="CZ138" s="331"/>
      <c r="DA138" s="331"/>
      <c r="DB138" s="331"/>
      <c r="DC138" s="331"/>
      <c r="DD138" s="331"/>
      <c r="DE138" s="331"/>
      <c r="DF138" s="331"/>
      <c r="DG138" s="331"/>
      <c r="DH138" s="331"/>
      <c r="DI138" s="331"/>
      <c r="DJ138" s="331"/>
      <c r="DK138" s="331"/>
      <c r="DL138" s="331"/>
      <c r="DM138" s="331"/>
      <c r="DN138" s="331"/>
      <c r="DO138" s="331"/>
      <c r="DP138" s="331"/>
      <c r="DQ138" s="331"/>
      <c r="DR138" s="331"/>
      <c r="DS138" s="331"/>
      <c r="DT138" s="331"/>
    </row>
    <row r="139" spans="66:125" ht="15.75">
      <c r="BN139" s="331"/>
      <c r="BO139" s="331"/>
      <c r="BP139" s="331"/>
      <c r="BQ139" s="331"/>
      <c r="BR139" s="331"/>
      <c r="BS139" s="331"/>
      <c r="BT139" s="331"/>
      <c r="BU139" s="331"/>
      <c r="BV139" s="331"/>
      <c r="BW139" s="331"/>
      <c r="BX139" s="331"/>
      <c r="BY139" s="331"/>
      <c r="BZ139" s="331"/>
      <c r="CA139" s="331"/>
      <c r="CB139" s="331"/>
      <c r="CC139" s="331"/>
      <c r="CD139" s="331"/>
      <c r="CE139" s="331"/>
      <c r="CF139" s="331"/>
      <c r="CG139" s="331"/>
      <c r="CH139" s="331"/>
      <c r="CI139" s="331"/>
      <c r="CJ139" s="331"/>
      <c r="CK139" s="331"/>
      <c r="CL139" s="331"/>
      <c r="CM139" s="331"/>
      <c r="CN139" s="331"/>
      <c r="CO139" s="331"/>
      <c r="CP139" s="331"/>
      <c r="CQ139" s="331"/>
      <c r="CR139" s="331"/>
      <c r="CS139" s="331"/>
      <c r="CT139" s="331"/>
      <c r="CU139" s="331"/>
      <c r="CV139" s="331"/>
      <c r="CW139" s="331"/>
      <c r="CX139" s="331"/>
      <c r="CY139" s="331"/>
      <c r="CZ139" s="331"/>
      <c r="DA139" s="331"/>
      <c r="DB139" s="331"/>
      <c r="DC139" s="331"/>
      <c r="DD139" s="331"/>
      <c r="DE139" s="331"/>
      <c r="DF139" s="331"/>
      <c r="DG139" s="331"/>
      <c r="DH139" s="331"/>
      <c r="DI139" s="331"/>
      <c r="DJ139" s="331"/>
      <c r="DK139" s="331"/>
      <c r="DL139" s="331"/>
      <c r="DM139" s="331"/>
      <c r="DN139" s="331"/>
      <c r="DO139" s="331"/>
      <c r="DP139" s="331"/>
      <c r="DQ139" s="331"/>
      <c r="DR139" s="331"/>
      <c r="DS139" s="331"/>
      <c r="DT139" s="331"/>
      <c r="DU139" s="331"/>
    </row>
    <row r="143" spans="6:65" s="113" customFormat="1" ht="36" customHeight="1">
      <c r="F143" s="416">
        <v>43466</v>
      </c>
      <c r="G143" s="416">
        <f>+F143+31</f>
        <v>43497</v>
      </c>
      <c r="H143" s="416">
        <f aca="true" t="shared" si="27" ref="H143:BA143">+G143+31</f>
        <v>43528</v>
      </c>
      <c r="I143" s="416">
        <f t="shared" si="27"/>
        <v>43559</v>
      </c>
      <c r="J143" s="416">
        <f t="shared" si="27"/>
        <v>43590</v>
      </c>
      <c r="K143" s="416">
        <f t="shared" si="27"/>
        <v>43621</v>
      </c>
      <c r="L143" s="416">
        <f t="shared" si="27"/>
        <v>43652</v>
      </c>
      <c r="M143" s="416">
        <f t="shared" si="27"/>
        <v>43683</v>
      </c>
      <c r="N143" s="416">
        <f t="shared" si="27"/>
        <v>43714</v>
      </c>
      <c r="O143" s="416">
        <f t="shared" si="27"/>
        <v>43745</v>
      </c>
      <c r="P143" s="416">
        <f t="shared" si="27"/>
        <v>43776</v>
      </c>
      <c r="Q143" s="416">
        <f t="shared" si="27"/>
        <v>43807</v>
      </c>
      <c r="R143" s="416">
        <f t="shared" si="27"/>
        <v>43838</v>
      </c>
      <c r="S143" s="416">
        <f t="shared" si="27"/>
        <v>43869</v>
      </c>
      <c r="T143" s="416">
        <f t="shared" si="27"/>
        <v>43900</v>
      </c>
      <c r="U143" s="416">
        <f t="shared" si="27"/>
        <v>43931</v>
      </c>
      <c r="V143" s="416">
        <f t="shared" si="27"/>
        <v>43962</v>
      </c>
      <c r="W143" s="416">
        <f t="shared" si="27"/>
        <v>43993</v>
      </c>
      <c r="X143" s="416">
        <f t="shared" si="27"/>
        <v>44024</v>
      </c>
      <c r="Y143" s="416">
        <f t="shared" si="27"/>
        <v>44055</v>
      </c>
      <c r="Z143" s="416">
        <f t="shared" si="27"/>
        <v>44086</v>
      </c>
      <c r="AA143" s="416">
        <f t="shared" si="27"/>
        <v>44117</v>
      </c>
      <c r="AB143" s="416">
        <f t="shared" si="27"/>
        <v>44148</v>
      </c>
      <c r="AC143" s="416">
        <f t="shared" si="27"/>
        <v>44179</v>
      </c>
      <c r="AD143" s="416">
        <f t="shared" si="27"/>
        <v>44210</v>
      </c>
      <c r="AE143" s="416">
        <f t="shared" si="27"/>
        <v>44241</v>
      </c>
      <c r="AF143" s="416">
        <f t="shared" si="27"/>
        <v>44272</v>
      </c>
      <c r="AG143" s="416">
        <f t="shared" si="27"/>
        <v>44303</v>
      </c>
      <c r="AH143" s="416">
        <f t="shared" si="27"/>
        <v>44334</v>
      </c>
      <c r="AI143" s="416">
        <f t="shared" si="27"/>
        <v>44365</v>
      </c>
      <c r="AJ143" s="416">
        <f t="shared" si="27"/>
        <v>44396</v>
      </c>
      <c r="AK143" s="416">
        <f t="shared" si="27"/>
        <v>44427</v>
      </c>
      <c r="AL143" s="416">
        <f t="shared" si="27"/>
        <v>44458</v>
      </c>
      <c r="AM143" s="416">
        <f t="shared" si="27"/>
        <v>44489</v>
      </c>
      <c r="AN143" s="416">
        <f t="shared" si="27"/>
        <v>44520</v>
      </c>
      <c r="AO143" s="416">
        <f t="shared" si="27"/>
        <v>44551</v>
      </c>
      <c r="AP143" s="416">
        <f t="shared" si="27"/>
        <v>44582</v>
      </c>
      <c r="AQ143" s="416">
        <f t="shared" si="27"/>
        <v>44613</v>
      </c>
      <c r="AR143" s="416">
        <f t="shared" si="27"/>
        <v>44644</v>
      </c>
      <c r="AS143" s="416">
        <f t="shared" si="27"/>
        <v>44675</v>
      </c>
      <c r="AT143" s="416">
        <f t="shared" si="27"/>
        <v>44706</v>
      </c>
      <c r="AU143" s="416">
        <f t="shared" si="27"/>
        <v>44737</v>
      </c>
      <c r="AV143" s="416">
        <f t="shared" si="27"/>
        <v>44768</v>
      </c>
      <c r="AW143" s="416">
        <f t="shared" si="27"/>
        <v>44799</v>
      </c>
      <c r="AX143" s="416">
        <f t="shared" si="27"/>
        <v>44830</v>
      </c>
      <c r="AY143" s="416">
        <f t="shared" si="27"/>
        <v>44861</v>
      </c>
      <c r="AZ143" s="416">
        <f t="shared" si="27"/>
        <v>44892</v>
      </c>
      <c r="BA143" s="416">
        <f t="shared" si="27"/>
        <v>44923</v>
      </c>
      <c r="BB143" s="416">
        <f aca="true" t="shared" si="28" ref="BB143">+BA143+31</f>
        <v>44954</v>
      </c>
      <c r="BC143" s="416">
        <f aca="true" t="shared" si="29" ref="BC143">+BB143+31</f>
        <v>44985</v>
      </c>
      <c r="BD143" s="416">
        <f aca="true" t="shared" si="30" ref="BD143">+BC143+31</f>
        <v>45016</v>
      </c>
      <c r="BE143" s="416">
        <f>+BD143+10</f>
        <v>45026</v>
      </c>
      <c r="BF143" s="416">
        <f aca="true" t="shared" si="31" ref="BF143">+BE143+31</f>
        <v>45057</v>
      </c>
      <c r="BG143" s="416">
        <f aca="true" t="shared" si="32" ref="BG143">+BF143+31</f>
        <v>45088</v>
      </c>
      <c r="BH143" s="416">
        <f aca="true" t="shared" si="33" ref="BH143">+BG143+31</f>
        <v>45119</v>
      </c>
      <c r="BI143" s="416">
        <f aca="true" t="shared" si="34" ref="BI143">+BH143+31</f>
        <v>45150</v>
      </c>
      <c r="BJ143" s="416">
        <f aca="true" t="shared" si="35" ref="BJ143">+BI143+31</f>
        <v>45181</v>
      </c>
      <c r="BK143" s="416">
        <f aca="true" t="shared" si="36" ref="BK143">+BJ143+31</f>
        <v>45212</v>
      </c>
      <c r="BL143" s="416">
        <f aca="true" t="shared" si="37" ref="BL143">+BK143+31</f>
        <v>45243</v>
      </c>
      <c r="BM143" s="416">
        <f aca="true" t="shared" si="38" ref="BM143">+BL143+31</f>
        <v>45274</v>
      </c>
    </row>
    <row r="144" spans="5:65" s="331" customFormat="1" ht="15.75">
      <c r="E144" s="416">
        <v>43466</v>
      </c>
      <c r="F144" s="331">
        <f aca="true" t="shared" si="39" ref="F144:BA144">+($F208/$F$5)</f>
        <v>0</v>
      </c>
      <c r="G144" s="331">
        <f t="shared" si="39"/>
        <v>0</v>
      </c>
      <c r="H144" s="331">
        <f t="shared" si="39"/>
        <v>0</v>
      </c>
      <c r="I144" s="331">
        <f t="shared" si="39"/>
        <v>0</v>
      </c>
      <c r="J144" s="331">
        <f t="shared" si="39"/>
        <v>0</v>
      </c>
      <c r="K144" s="331">
        <f t="shared" si="39"/>
        <v>0</v>
      </c>
      <c r="L144" s="331">
        <f t="shared" si="39"/>
        <v>0</v>
      </c>
      <c r="M144" s="331">
        <f t="shared" si="39"/>
        <v>0</v>
      </c>
      <c r="N144" s="331">
        <f t="shared" si="39"/>
        <v>0</v>
      </c>
      <c r="O144" s="331">
        <f t="shared" si="39"/>
        <v>0</v>
      </c>
      <c r="P144" s="331">
        <f t="shared" si="39"/>
        <v>0</v>
      </c>
      <c r="Q144" s="331">
        <f t="shared" si="39"/>
        <v>0</v>
      </c>
      <c r="R144" s="331">
        <f t="shared" si="39"/>
        <v>0</v>
      </c>
      <c r="S144" s="331">
        <f t="shared" si="39"/>
        <v>0</v>
      </c>
      <c r="T144" s="331">
        <f t="shared" si="39"/>
        <v>0</v>
      </c>
      <c r="U144" s="331">
        <f t="shared" si="39"/>
        <v>0</v>
      </c>
      <c r="V144" s="331">
        <f t="shared" si="39"/>
        <v>0</v>
      </c>
      <c r="W144" s="331">
        <f t="shared" si="39"/>
        <v>0</v>
      </c>
      <c r="X144" s="331">
        <f t="shared" si="39"/>
        <v>0</v>
      </c>
      <c r="Y144" s="331">
        <f t="shared" si="39"/>
        <v>0</v>
      </c>
      <c r="Z144" s="331">
        <f t="shared" si="39"/>
        <v>0</v>
      </c>
      <c r="AA144" s="331">
        <f t="shared" si="39"/>
        <v>0</v>
      </c>
      <c r="AB144" s="331">
        <f t="shared" si="39"/>
        <v>0</v>
      </c>
      <c r="AC144" s="331">
        <f t="shared" si="39"/>
        <v>0</v>
      </c>
      <c r="AD144" s="331">
        <f t="shared" si="39"/>
        <v>0</v>
      </c>
      <c r="AE144" s="331">
        <f t="shared" si="39"/>
        <v>0</v>
      </c>
      <c r="AF144" s="331">
        <f t="shared" si="39"/>
        <v>0</v>
      </c>
      <c r="AG144" s="331">
        <f t="shared" si="39"/>
        <v>0</v>
      </c>
      <c r="AH144" s="331">
        <f t="shared" si="39"/>
        <v>0</v>
      </c>
      <c r="AI144" s="331">
        <f t="shared" si="39"/>
        <v>0</v>
      </c>
      <c r="AJ144" s="331">
        <f t="shared" si="39"/>
        <v>0</v>
      </c>
      <c r="AK144" s="331">
        <f t="shared" si="39"/>
        <v>0</v>
      </c>
      <c r="AL144" s="331">
        <f t="shared" si="39"/>
        <v>0</v>
      </c>
      <c r="AM144" s="331">
        <f t="shared" si="39"/>
        <v>0</v>
      </c>
      <c r="AN144" s="331">
        <f t="shared" si="39"/>
        <v>0</v>
      </c>
      <c r="AO144" s="331">
        <f t="shared" si="39"/>
        <v>0</v>
      </c>
      <c r="AP144" s="331">
        <f t="shared" si="39"/>
        <v>0</v>
      </c>
      <c r="AQ144" s="331">
        <f t="shared" si="39"/>
        <v>0</v>
      </c>
      <c r="AR144" s="331">
        <f t="shared" si="39"/>
        <v>0</v>
      </c>
      <c r="AS144" s="331">
        <f t="shared" si="39"/>
        <v>0</v>
      </c>
      <c r="AT144" s="331">
        <f t="shared" si="39"/>
        <v>0</v>
      </c>
      <c r="AU144" s="331">
        <f t="shared" si="39"/>
        <v>0</v>
      </c>
      <c r="AV144" s="331">
        <f t="shared" si="39"/>
        <v>0</v>
      </c>
      <c r="AW144" s="331">
        <f t="shared" si="39"/>
        <v>0</v>
      </c>
      <c r="AX144" s="331">
        <f t="shared" si="39"/>
        <v>0</v>
      </c>
      <c r="AY144" s="331">
        <f t="shared" si="39"/>
        <v>0</v>
      </c>
      <c r="AZ144" s="331">
        <f t="shared" si="39"/>
        <v>0</v>
      </c>
      <c r="BA144" s="331">
        <f t="shared" si="39"/>
        <v>0</v>
      </c>
      <c r="BB144" s="331">
        <f aca="true" t="shared" si="40" ref="BB144:BM144">+($F208/$F$5)</f>
        <v>0</v>
      </c>
      <c r="BC144" s="331">
        <f t="shared" si="40"/>
        <v>0</v>
      </c>
      <c r="BD144" s="331">
        <f t="shared" si="40"/>
        <v>0</v>
      </c>
      <c r="BE144" s="331">
        <f t="shared" si="40"/>
        <v>0</v>
      </c>
      <c r="BF144" s="331">
        <f t="shared" si="40"/>
        <v>0</v>
      </c>
      <c r="BG144" s="331">
        <f t="shared" si="40"/>
        <v>0</v>
      </c>
      <c r="BH144" s="331">
        <f t="shared" si="40"/>
        <v>0</v>
      </c>
      <c r="BI144" s="331">
        <f t="shared" si="40"/>
        <v>0</v>
      </c>
      <c r="BJ144" s="331">
        <f t="shared" si="40"/>
        <v>0</v>
      </c>
      <c r="BK144" s="331">
        <f t="shared" si="40"/>
        <v>0</v>
      </c>
      <c r="BL144" s="331">
        <f t="shared" si="40"/>
        <v>0</v>
      </c>
      <c r="BM144" s="331">
        <f t="shared" si="40"/>
        <v>0</v>
      </c>
    </row>
    <row r="145" spans="5:65" ht="15.75">
      <c r="E145" s="416">
        <f>+E144+31</f>
        <v>43497</v>
      </c>
      <c r="F145" s="331"/>
      <c r="G145" s="331">
        <f aca="true" t="shared" si="41" ref="G145:U145">+($F209/$F$5)</f>
        <v>0</v>
      </c>
      <c r="H145" s="331">
        <f t="shared" si="41"/>
        <v>0</v>
      </c>
      <c r="I145" s="331">
        <f t="shared" si="41"/>
        <v>0</v>
      </c>
      <c r="J145" s="331">
        <f t="shared" si="41"/>
        <v>0</v>
      </c>
      <c r="K145" s="331">
        <f t="shared" si="41"/>
        <v>0</v>
      </c>
      <c r="L145" s="331">
        <f t="shared" si="41"/>
        <v>0</v>
      </c>
      <c r="M145" s="331">
        <f t="shared" si="41"/>
        <v>0</v>
      </c>
      <c r="N145" s="331">
        <f t="shared" si="41"/>
        <v>0</v>
      </c>
      <c r="O145" s="331">
        <f t="shared" si="41"/>
        <v>0</v>
      </c>
      <c r="P145" s="331">
        <f t="shared" si="41"/>
        <v>0</v>
      </c>
      <c r="Q145" s="331">
        <f t="shared" si="41"/>
        <v>0</v>
      </c>
      <c r="R145" s="331">
        <f t="shared" si="41"/>
        <v>0</v>
      </c>
      <c r="S145" s="331">
        <f t="shared" si="41"/>
        <v>0</v>
      </c>
      <c r="T145" s="331">
        <f t="shared" si="41"/>
        <v>0</v>
      </c>
      <c r="U145" s="331">
        <f t="shared" si="41"/>
        <v>0</v>
      </c>
      <c r="V145" s="331">
        <f aca="true" t="shared" si="42" ref="V145:BA145">+($F209/$F$5)</f>
        <v>0</v>
      </c>
      <c r="W145" s="331">
        <f t="shared" si="42"/>
        <v>0</v>
      </c>
      <c r="X145" s="331">
        <f t="shared" si="42"/>
        <v>0</v>
      </c>
      <c r="Y145" s="331">
        <f t="shared" si="42"/>
        <v>0</v>
      </c>
      <c r="Z145" s="331">
        <f t="shared" si="42"/>
        <v>0</v>
      </c>
      <c r="AA145" s="331">
        <f t="shared" si="42"/>
        <v>0</v>
      </c>
      <c r="AB145" s="331">
        <f t="shared" si="42"/>
        <v>0</v>
      </c>
      <c r="AC145" s="331">
        <f t="shared" si="42"/>
        <v>0</v>
      </c>
      <c r="AD145" s="331">
        <f t="shared" si="42"/>
        <v>0</v>
      </c>
      <c r="AE145" s="331">
        <f t="shared" si="42"/>
        <v>0</v>
      </c>
      <c r="AF145" s="331">
        <f t="shared" si="42"/>
        <v>0</v>
      </c>
      <c r="AG145" s="331">
        <f t="shared" si="42"/>
        <v>0</v>
      </c>
      <c r="AH145" s="331">
        <f t="shared" si="42"/>
        <v>0</v>
      </c>
      <c r="AI145" s="331">
        <f t="shared" si="42"/>
        <v>0</v>
      </c>
      <c r="AJ145" s="331">
        <f t="shared" si="42"/>
        <v>0</v>
      </c>
      <c r="AK145" s="331">
        <f t="shared" si="42"/>
        <v>0</v>
      </c>
      <c r="AL145" s="331">
        <f t="shared" si="42"/>
        <v>0</v>
      </c>
      <c r="AM145" s="331">
        <f t="shared" si="42"/>
        <v>0</v>
      </c>
      <c r="AN145" s="331">
        <f t="shared" si="42"/>
        <v>0</v>
      </c>
      <c r="AO145" s="331">
        <f t="shared" si="42"/>
        <v>0</v>
      </c>
      <c r="AP145" s="331">
        <f t="shared" si="42"/>
        <v>0</v>
      </c>
      <c r="AQ145" s="331">
        <f t="shared" si="42"/>
        <v>0</v>
      </c>
      <c r="AR145" s="331">
        <f t="shared" si="42"/>
        <v>0</v>
      </c>
      <c r="AS145" s="331">
        <f t="shared" si="42"/>
        <v>0</v>
      </c>
      <c r="AT145" s="331">
        <f t="shared" si="42"/>
        <v>0</v>
      </c>
      <c r="AU145" s="331">
        <f t="shared" si="42"/>
        <v>0</v>
      </c>
      <c r="AV145" s="331">
        <f t="shared" si="42"/>
        <v>0</v>
      </c>
      <c r="AW145" s="331">
        <f t="shared" si="42"/>
        <v>0</v>
      </c>
      <c r="AX145" s="331">
        <f t="shared" si="42"/>
        <v>0</v>
      </c>
      <c r="AY145" s="331">
        <f t="shared" si="42"/>
        <v>0</v>
      </c>
      <c r="AZ145" s="331">
        <f t="shared" si="42"/>
        <v>0</v>
      </c>
      <c r="BA145" s="331">
        <f t="shared" si="42"/>
        <v>0</v>
      </c>
      <c r="BB145" s="331">
        <f aca="true" t="shared" si="43" ref="BB145:BM145">+($F209/$F$5)</f>
        <v>0</v>
      </c>
      <c r="BC145" s="331">
        <f t="shared" si="43"/>
        <v>0</v>
      </c>
      <c r="BD145" s="331">
        <f t="shared" si="43"/>
        <v>0</v>
      </c>
      <c r="BE145" s="331">
        <f t="shared" si="43"/>
        <v>0</v>
      </c>
      <c r="BF145" s="331">
        <f t="shared" si="43"/>
        <v>0</v>
      </c>
      <c r="BG145" s="331">
        <f t="shared" si="43"/>
        <v>0</v>
      </c>
      <c r="BH145" s="331">
        <f t="shared" si="43"/>
        <v>0</v>
      </c>
      <c r="BI145" s="331">
        <f t="shared" si="43"/>
        <v>0</v>
      </c>
      <c r="BJ145" s="331">
        <f t="shared" si="43"/>
        <v>0</v>
      </c>
      <c r="BK145" s="331">
        <f t="shared" si="43"/>
        <v>0</v>
      </c>
      <c r="BL145" s="331">
        <f t="shared" si="43"/>
        <v>0</v>
      </c>
      <c r="BM145" s="331">
        <f t="shared" si="43"/>
        <v>0</v>
      </c>
    </row>
    <row r="146" spans="5:65" ht="15.75">
      <c r="E146" s="416">
        <f aca="true" t="shared" si="44" ref="E146:E203">+E145+31</f>
        <v>43528</v>
      </c>
      <c r="F146" s="331"/>
      <c r="G146" s="331"/>
      <c r="H146" s="331">
        <f aca="true" t="shared" si="45" ref="H146:U146">+($F210/$F$5)</f>
        <v>0</v>
      </c>
      <c r="I146" s="331">
        <f t="shared" si="45"/>
        <v>0</v>
      </c>
      <c r="J146" s="331">
        <f t="shared" si="45"/>
        <v>0</v>
      </c>
      <c r="K146" s="331">
        <f t="shared" si="45"/>
        <v>0</v>
      </c>
      <c r="L146" s="331">
        <f t="shared" si="45"/>
        <v>0</v>
      </c>
      <c r="M146" s="331">
        <f t="shared" si="45"/>
        <v>0</v>
      </c>
      <c r="N146" s="331">
        <f t="shared" si="45"/>
        <v>0</v>
      </c>
      <c r="O146" s="331">
        <f t="shared" si="45"/>
        <v>0</v>
      </c>
      <c r="P146" s="331">
        <f t="shared" si="45"/>
        <v>0</v>
      </c>
      <c r="Q146" s="331">
        <f t="shared" si="45"/>
        <v>0</v>
      </c>
      <c r="R146" s="331">
        <f t="shared" si="45"/>
        <v>0</v>
      </c>
      <c r="S146" s="331">
        <f t="shared" si="45"/>
        <v>0</v>
      </c>
      <c r="T146" s="331">
        <f t="shared" si="45"/>
        <v>0</v>
      </c>
      <c r="U146" s="331">
        <f t="shared" si="45"/>
        <v>0</v>
      </c>
      <c r="V146" s="331">
        <f aca="true" t="shared" si="46" ref="V146:BA146">+($F210/$F$5)</f>
        <v>0</v>
      </c>
      <c r="W146" s="331">
        <f t="shared" si="46"/>
        <v>0</v>
      </c>
      <c r="X146" s="331">
        <f t="shared" si="46"/>
        <v>0</v>
      </c>
      <c r="Y146" s="331">
        <f t="shared" si="46"/>
        <v>0</v>
      </c>
      <c r="Z146" s="331">
        <f t="shared" si="46"/>
        <v>0</v>
      </c>
      <c r="AA146" s="331">
        <f t="shared" si="46"/>
        <v>0</v>
      </c>
      <c r="AB146" s="331">
        <f t="shared" si="46"/>
        <v>0</v>
      </c>
      <c r="AC146" s="331">
        <f t="shared" si="46"/>
        <v>0</v>
      </c>
      <c r="AD146" s="331">
        <f t="shared" si="46"/>
        <v>0</v>
      </c>
      <c r="AE146" s="331">
        <f t="shared" si="46"/>
        <v>0</v>
      </c>
      <c r="AF146" s="331">
        <f t="shared" si="46"/>
        <v>0</v>
      </c>
      <c r="AG146" s="331">
        <f t="shared" si="46"/>
        <v>0</v>
      </c>
      <c r="AH146" s="331">
        <f t="shared" si="46"/>
        <v>0</v>
      </c>
      <c r="AI146" s="331">
        <f t="shared" si="46"/>
        <v>0</v>
      </c>
      <c r="AJ146" s="331">
        <f t="shared" si="46"/>
        <v>0</v>
      </c>
      <c r="AK146" s="331">
        <f t="shared" si="46"/>
        <v>0</v>
      </c>
      <c r="AL146" s="331">
        <f t="shared" si="46"/>
        <v>0</v>
      </c>
      <c r="AM146" s="331">
        <f t="shared" si="46"/>
        <v>0</v>
      </c>
      <c r="AN146" s="331">
        <f t="shared" si="46"/>
        <v>0</v>
      </c>
      <c r="AO146" s="331">
        <f t="shared" si="46"/>
        <v>0</v>
      </c>
      <c r="AP146" s="331">
        <f t="shared" si="46"/>
        <v>0</v>
      </c>
      <c r="AQ146" s="331">
        <f t="shared" si="46"/>
        <v>0</v>
      </c>
      <c r="AR146" s="331">
        <f t="shared" si="46"/>
        <v>0</v>
      </c>
      <c r="AS146" s="331">
        <f t="shared" si="46"/>
        <v>0</v>
      </c>
      <c r="AT146" s="331">
        <f t="shared" si="46"/>
        <v>0</v>
      </c>
      <c r="AU146" s="331">
        <f t="shared" si="46"/>
        <v>0</v>
      </c>
      <c r="AV146" s="331">
        <f t="shared" si="46"/>
        <v>0</v>
      </c>
      <c r="AW146" s="331">
        <f t="shared" si="46"/>
        <v>0</v>
      </c>
      <c r="AX146" s="331">
        <f t="shared" si="46"/>
        <v>0</v>
      </c>
      <c r="AY146" s="331">
        <f t="shared" si="46"/>
        <v>0</v>
      </c>
      <c r="AZ146" s="331">
        <f t="shared" si="46"/>
        <v>0</v>
      </c>
      <c r="BA146" s="331">
        <f t="shared" si="46"/>
        <v>0</v>
      </c>
      <c r="BB146" s="331">
        <f aca="true" t="shared" si="47" ref="BB146:BM146">+($F210/$F$5)</f>
        <v>0</v>
      </c>
      <c r="BC146" s="331">
        <f t="shared" si="47"/>
        <v>0</v>
      </c>
      <c r="BD146" s="331">
        <f t="shared" si="47"/>
        <v>0</v>
      </c>
      <c r="BE146" s="331">
        <f t="shared" si="47"/>
        <v>0</v>
      </c>
      <c r="BF146" s="331">
        <f t="shared" si="47"/>
        <v>0</v>
      </c>
      <c r="BG146" s="331">
        <f t="shared" si="47"/>
        <v>0</v>
      </c>
      <c r="BH146" s="331">
        <f t="shared" si="47"/>
        <v>0</v>
      </c>
      <c r="BI146" s="331">
        <f t="shared" si="47"/>
        <v>0</v>
      </c>
      <c r="BJ146" s="331">
        <f t="shared" si="47"/>
        <v>0</v>
      </c>
      <c r="BK146" s="331">
        <f t="shared" si="47"/>
        <v>0</v>
      </c>
      <c r="BL146" s="331">
        <f t="shared" si="47"/>
        <v>0</v>
      </c>
      <c r="BM146" s="331">
        <f t="shared" si="47"/>
        <v>0</v>
      </c>
    </row>
    <row r="147" spans="5:65" ht="15.75">
      <c r="E147" s="416">
        <f t="shared" si="44"/>
        <v>43559</v>
      </c>
      <c r="F147" s="331"/>
      <c r="G147" s="331"/>
      <c r="H147" s="331"/>
      <c r="I147" s="331">
        <f aca="true" t="shared" si="48" ref="I147:U147">+($F211/$F$5)</f>
        <v>0</v>
      </c>
      <c r="J147" s="331">
        <f t="shared" si="48"/>
        <v>0</v>
      </c>
      <c r="K147" s="331">
        <f t="shared" si="48"/>
        <v>0</v>
      </c>
      <c r="L147" s="331">
        <f t="shared" si="48"/>
        <v>0</v>
      </c>
      <c r="M147" s="331">
        <f t="shared" si="48"/>
        <v>0</v>
      </c>
      <c r="N147" s="331">
        <f t="shared" si="48"/>
        <v>0</v>
      </c>
      <c r="O147" s="331">
        <f t="shared" si="48"/>
        <v>0</v>
      </c>
      <c r="P147" s="331">
        <f t="shared" si="48"/>
        <v>0</v>
      </c>
      <c r="Q147" s="331">
        <f t="shared" si="48"/>
        <v>0</v>
      </c>
      <c r="R147" s="331">
        <f t="shared" si="48"/>
        <v>0</v>
      </c>
      <c r="S147" s="331">
        <f t="shared" si="48"/>
        <v>0</v>
      </c>
      <c r="T147" s="331">
        <f t="shared" si="48"/>
        <v>0</v>
      </c>
      <c r="U147" s="331">
        <f t="shared" si="48"/>
        <v>0</v>
      </c>
      <c r="V147" s="331">
        <f aca="true" t="shared" si="49" ref="V147:BA147">+($F211/$F$5)</f>
        <v>0</v>
      </c>
      <c r="W147" s="331">
        <f t="shared" si="49"/>
        <v>0</v>
      </c>
      <c r="X147" s="331">
        <f t="shared" si="49"/>
        <v>0</v>
      </c>
      <c r="Y147" s="331">
        <f t="shared" si="49"/>
        <v>0</v>
      </c>
      <c r="Z147" s="331">
        <f t="shared" si="49"/>
        <v>0</v>
      </c>
      <c r="AA147" s="331">
        <f t="shared" si="49"/>
        <v>0</v>
      </c>
      <c r="AB147" s="331">
        <f t="shared" si="49"/>
        <v>0</v>
      </c>
      <c r="AC147" s="331">
        <f t="shared" si="49"/>
        <v>0</v>
      </c>
      <c r="AD147" s="331">
        <f t="shared" si="49"/>
        <v>0</v>
      </c>
      <c r="AE147" s="331">
        <f t="shared" si="49"/>
        <v>0</v>
      </c>
      <c r="AF147" s="331">
        <f t="shared" si="49"/>
        <v>0</v>
      </c>
      <c r="AG147" s="331">
        <f t="shared" si="49"/>
        <v>0</v>
      </c>
      <c r="AH147" s="331">
        <f t="shared" si="49"/>
        <v>0</v>
      </c>
      <c r="AI147" s="331">
        <f t="shared" si="49"/>
        <v>0</v>
      </c>
      <c r="AJ147" s="331">
        <f t="shared" si="49"/>
        <v>0</v>
      </c>
      <c r="AK147" s="331">
        <f t="shared" si="49"/>
        <v>0</v>
      </c>
      <c r="AL147" s="331">
        <f t="shared" si="49"/>
        <v>0</v>
      </c>
      <c r="AM147" s="331">
        <f t="shared" si="49"/>
        <v>0</v>
      </c>
      <c r="AN147" s="331">
        <f t="shared" si="49"/>
        <v>0</v>
      </c>
      <c r="AO147" s="331">
        <f t="shared" si="49"/>
        <v>0</v>
      </c>
      <c r="AP147" s="331">
        <f t="shared" si="49"/>
        <v>0</v>
      </c>
      <c r="AQ147" s="331">
        <f t="shared" si="49"/>
        <v>0</v>
      </c>
      <c r="AR147" s="331">
        <f t="shared" si="49"/>
        <v>0</v>
      </c>
      <c r="AS147" s="331">
        <f t="shared" si="49"/>
        <v>0</v>
      </c>
      <c r="AT147" s="331">
        <f t="shared" si="49"/>
        <v>0</v>
      </c>
      <c r="AU147" s="331">
        <f t="shared" si="49"/>
        <v>0</v>
      </c>
      <c r="AV147" s="331">
        <f t="shared" si="49"/>
        <v>0</v>
      </c>
      <c r="AW147" s="331">
        <f t="shared" si="49"/>
        <v>0</v>
      </c>
      <c r="AX147" s="331">
        <f t="shared" si="49"/>
        <v>0</v>
      </c>
      <c r="AY147" s="331">
        <f t="shared" si="49"/>
        <v>0</v>
      </c>
      <c r="AZ147" s="331">
        <f t="shared" si="49"/>
        <v>0</v>
      </c>
      <c r="BA147" s="331">
        <f t="shared" si="49"/>
        <v>0</v>
      </c>
      <c r="BB147" s="331">
        <f aca="true" t="shared" si="50" ref="BB147:BM147">+($F211/$F$5)</f>
        <v>0</v>
      </c>
      <c r="BC147" s="331">
        <f t="shared" si="50"/>
        <v>0</v>
      </c>
      <c r="BD147" s="331">
        <f t="shared" si="50"/>
        <v>0</v>
      </c>
      <c r="BE147" s="331">
        <f t="shared" si="50"/>
        <v>0</v>
      </c>
      <c r="BF147" s="331">
        <f t="shared" si="50"/>
        <v>0</v>
      </c>
      <c r="BG147" s="331">
        <f t="shared" si="50"/>
        <v>0</v>
      </c>
      <c r="BH147" s="331">
        <f t="shared" si="50"/>
        <v>0</v>
      </c>
      <c r="BI147" s="331">
        <f t="shared" si="50"/>
        <v>0</v>
      </c>
      <c r="BJ147" s="331">
        <f t="shared" si="50"/>
        <v>0</v>
      </c>
      <c r="BK147" s="331">
        <f t="shared" si="50"/>
        <v>0</v>
      </c>
      <c r="BL147" s="331">
        <f t="shared" si="50"/>
        <v>0</v>
      </c>
      <c r="BM147" s="331">
        <f t="shared" si="50"/>
        <v>0</v>
      </c>
    </row>
    <row r="148" spans="3:65" ht="15.75">
      <c r="C148" s="5"/>
      <c r="E148" s="416">
        <f t="shared" si="44"/>
        <v>43590</v>
      </c>
      <c r="F148" s="331"/>
      <c r="G148" s="331"/>
      <c r="H148" s="331"/>
      <c r="I148" s="331"/>
      <c r="J148" s="331">
        <f aca="true" t="shared" si="51" ref="J148:U148">+($F212/$F$5)</f>
        <v>0</v>
      </c>
      <c r="K148" s="331">
        <f t="shared" si="51"/>
        <v>0</v>
      </c>
      <c r="L148" s="331">
        <f t="shared" si="51"/>
        <v>0</v>
      </c>
      <c r="M148" s="331">
        <f t="shared" si="51"/>
        <v>0</v>
      </c>
      <c r="N148" s="331">
        <f t="shared" si="51"/>
        <v>0</v>
      </c>
      <c r="O148" s="331">
        <f t="shared" si="51"/>
        <v>0</v>
      </c>
      <c r="P148" s="331">
        <f t="shared" si="51"/>
        <v>0</v>
      </c>
      <c r="Q148" s="331">
        <f t="shared" si="51"/>
        <v>0</v>
      </c>
      <c r="R148" s="331">
        <f t="shared" si="51"/>
        <v>0</v>
      </c>
      <c r="S148" s="331">
        <f t="shared" si="51"/>
        <v>0</v>
      </c>
      <c r="T148" s="331">
        <f t="shared" si="51"/>
        <v>0</v>
      </c>
      <c r="U148" s="331">
        <f t="shared" si="51"/>
        <v>0</v>
      </c>
      <c r="V148" s="331">
        <f aca="true" t="shared" si="52" ref="V148:BA148">+($F212/$F$5)</f>
        <v>0</v>
      </c>
      <c r="W148" s="331">
        <f t="shared" si="52"/>
        <v>0</v>
      </c>
      <c r="X148" s="331">
        <f t="shared" si="52"/>
        <v>0</v>
      </c>
      <c r="Y148" s="331">
        <f t="shared" si="52"/>
        <v>0</v>
      </c>
      <c r="Z148" s="331">
        <f t="shared" si="52"/>
        <v>0</v>
      </c>
      <c r="AA148" s="331">
        <f t="shared" si="52"/>
        <v>0</v>
      </c>
      <c r="AB148" s="331">
        <f t="shared" si="52"/>
        <v>0</v>
      </c>
      <c r="AC148" s="331">
        <f t="shared" si="52"/>
        <v>0</v>
      </c>
      <c r="AD148" s="331">
        <f t="shared" si="52"/>
        <v>0</v>
      </c>
      <c r="AE148" s="331">
        <f t="shared" si="52"/>
        <v>0</v>
      </c>
      <c r="AF148" s="331">
        <f t="shared" si="52"/>
        <v>0</v>
      </c>
      <c r="AG148" s="331">
        <f t="shared" si="52"/>
        <v>0</v>
      </c>
      <c r="AH148" s="331">
        <f t="shared" si="52"/>
        <v>0</v>
      </c>
      <c r="AI148" s="331">
        <f t="shared" si="52"/>
        <v>0</v>
      </c>
      <c r="AJ148" s="331">
        <f t="shared" si="52"/>
        <v>0</v>
      </c>
      <c r="AK148" s="331">
        <f t="shared" si="52"/>
        <v>0</v>
      </c>
      <c r="AL148" s="331">
        <f t="shared" si="52"/>
        <v>0</v>
      </c>
      <c r="AM148" s="331">
        <f t="shared" si="52"/>
        <v>0</v>
      </c>
      <c r="AN148" s="331">
        <f t="shared" si="52"/>
        <v>0</v>
      </c>
      <c r="AO148" s="331">
        <f t="shared" si="52"/>
        <v>0</v>
      </c>
      <c r="AP148" s="331">
        <f t="shared" si="52"/>
        <v>0</v>
      </c>
      <c r="AQ148" s="331">
        <f t="shared" si="52"/>
        <v>0</v>
      </c>
      <c r="AR148" s="331">
        <f t="shared" si="52"/>
        <v>0</v>
      </c>
      <c r="AS148" s="331">
        <f t="shared" si="52"/>
        <v>0</v>
      </c>
      <c r="AT148" s="331">
        <f t="shared" si="52"/>
        <v>0</v>
      </c>
      <c r="AU148" s="331">
        <f t="shared" si="52"/>
        <v>0</v>
      </c>
      <c r="AV148" s="331">
        <f t="shared" si="52"/>
        <v>0</v>
      </c>
      <c r="AW148" s="331">
        <f t="shared" si="52"/>
        <v>0</v>
      </c>
      <c r="AX148" s="331">
        <f t="shared" si="52"/>
        <v>0</v>
      </c>
      <c r="AY148" s="331">
        <f t="shared" si="52"/>
        <v>0</v>
      </c>
      <c r="AZ148" s="331">
        <f t="shared" si="52"/>
        <v>0</v>
      </c>
      <c r="BA148" s="331">
        <f t="shared" si="52"/>
        <v>0</v>
      </c>
      <c r="BB148" s="331">
        <f aca="true" t="shared" si="53" ref="BB148:BM148">+($F212/$F$5)</f>
        <v>0</v>
      </c>
      <c r="BC148" s="331">
        <f t="shared" si="53"/>
        <v>0</v>
      </c>
      <c r="BD148" s="331">
        <f t="shared" si="53"/>
        <v>0</v>
      </c>
      <c r="BE148" s="331">
        <f t="shared" si="53"/>
        <v>0</v>
      </c>
      <c r="BF148" s="331">
        <f t="shared" si="53"/>
        <v>0</v>
      </c>
      <c r="BG148" s="331">
        <f t="shared" si="53"/>
        <v>0</v>
      </c>
      <c r="BH148" s="331">
        <f t="shared" si="53"/>
        <v>0</v>
      </c>
      <c r="BI148" s="331">
        <f t="shared" si="53"/>
        <v>0</v>
      </c>
      <c r="BJ148" s="331">
        <f t="shared" si="53"/>
        <v>0</v>
      </c>
      <c r="BK148" s="331">
        <f t="shared" si="53"/>
        <v>0</v>
      </c>
      <c r="BL148" s="331">
        <f t="shared" si="53"/>
        <v>0</v>
      </c>
      <c r="BM148" s="331">
        <f t="shared" si="53"/>
        <v>0</v>
      </c>
    </row>
    <row r="149" spans="5:65" ht="15.75">
      <c r="E149" s="416">
        <f t="shared" si="44"/>
        <v>43621</v>
      </c>
      <c r="F149" s="331"/>
      <c r="G149" s="331"/>
      <c r="H149" s="331"/>
      <c r="I149" s="331"/>
      <c r="J149" s="331"/>
      <c r="K149" s="331">
        <f aca="true" t="shared" si="54" ref="K149:U149">+($F213/$F$5)</f>
        <v>0</v>
      </c>
      <c r="L149" s="331">
        <f t="shared" si="54"/>
        <v>0</v>
      </c>
      <c r="M149" s="331">
        <f t="shared" si="54"/>
        <v>0</v>
      </c>
      <c r="N149" s="331">
        <f t="shared" si="54"/>
        <v>0</v>
      </c>
      <c r="O149" s="331">
        <f t="shared" si="54"/>
        <v>0</v>
      </c>
      <c r="P149" s="331">
        <f t="shared" si="54"/>
        <v>0</v>
      </c>
      <c r="Q149" s="331">
        <f t="shared" si="54"/>
        <v>0</v>
      </c>
      <c r="R149" s="331">
        <f t="shared" si="54"/>
        <v>0</v>
      </c>
      <c r="S149" s="331">
        <f t="shared" si="54"/>
        <v>0</v>
      </c>
      <c r="T149" s="331">
        <f t="shared" si="54"/>
        <v>0</v>
      </c>
      <c r="U149" s="331">
        <f t="shared" si="54"/>
        <v>0</v>
      </c>
      <c r="V149" s="331">
        <f aca="true" t="shared" si="55" ref="V149:BA149">+($F213/$F$5)</f>
        <v>0</v>
      </c>
      <c r="W149" s="331">
        <f t="shared" si="55"/>
        <v>0</v>
      </c>
      <c r="X149" s="331">
        <f t="shared" si="55"/>
        <v>0</v>
      </c>
      <c r="Y149" s="331">
        <f t="shared" si="55"/>
        <v>0</v>
      </c>
      <c r="Z149" s="331">
        <f t="shared" si="55"/>
        <v>0</v>
      </c>
      <c r="AA149" s="331">
        <f t="shared" si="55"/>
        <v>0</v>
      </c>
      <c r="AB149" s="331">
        <f t="shared" si="55"/>
        <v>0</v>
      </c>
      <c r="AC149" s="331">
        <f t="shared" si="55"/>
        <v>0</v>
      </c>
      <c r="AD149" s="331">
        <f t="shared" si="55"/>
        <v>0</v>
      </c>
      <c r="AE149" s="331">
        <f t="shared" si="55"/>
        <v>0</v>
      </c>
      <c r="AF149" s="331">
        <f t="shared" si="55"/>
        <v>0</v>
      </c>
      <c r="AG149" s="331">
        <f t="shared" si="55"/>
        <v>0</v>
      </c>
      <c r="AH149" s="331">
        <f t="shared" si="55"/>
        <v>0</v>
      </c>
      <c r="AI149" s="331">
        <f t="shared" si="55"/>
        <v>0</v>
      </c>
      <c r="AJ149" s="331">
        <f t="shared" si="55"/>
        <v>0</v>
      </c>
      <c r="AK149" s="331">
        <f t="shared" si="55"/>
        <v>0</v>
      </c>
      <c r="AL149" s="331">
        <f t="shared" si="55"/>
        <v>0</v>
      </c>
      <c r="AM149" s="331">
        <f t="shared" si="55"/>
        <v>0</v>
      </c>
      <c r="AN149" s="331">
        <f t="shared" si="55"/>
        <v>0</v>
      </c>
      <c r="AO149" s="331">
        <f t="shared" si="55"/>
        <v>0</v>
      </c>
      <c r="AP149" s="331">
        <f t="shared" si="55"/>
        <v>0</v>
      </c>
      <c r="AQ149" s="331">
        <f t="shared" si="55"/>
        <v>0</v>
      </c>
      <c r="AR149" s="331">
        <f t="shared" si="55"/>
        <v>0</v>
      </c>
      <c r="AS149" s="331">
        <f t="shared" si="55"/>
        <v>0</v>
      </c>
      <c r="AT149" s="331">
        <f t="shared" si="55"/>
        <v>0</v>
      </c>
      <c r="AU149" s="331">
        <f t="shared" si="55"/>
        <v>0</v>
      </c>
      <c r="AV149" s="331">
        <f t="shared" si="55"/>
        <v>0</v>
      </c>
      <c r="AW149" s="331">
        <f t="shared" si="55"/>
        <v>0</v>
      </c>
      <c r="AX149" s="331">
        <f t="shared" si="55"/>
        <v>0</v>
      </c>
      <c r="AY149" s="331">
        <f t="shared" si="55"/>
        <v>0</v>
      </c>
      <c r="AZ149" s="331">
        <f t="shared" si="55"/>
        <v>0</v>
      </c>
      <c r="BA149" s="331">
        <f t="shared" si="55"/>
        <v>0</v>
      </c>
      <c r="BB149" s="331">
        <f aca="true" t="shared" si="56" ref="BB149:BM149">+($F213/$F$5)</f>
        <v>0</v>
      </c>
      <c r="BC149" s="331">
        <f t="shared" si="56"/>
        <v>0</v>
      </c>
      <c r="BD149" s="331">
        <f t="shared" si="56"/>
        <v>0</v>
      </c>
      <c r="BE149" s="331">
        <f t="shared" si="56"/>
        <v>0</v>
      </c>
      <c r="BF149" s="331">
        <f t="shared" si="56"/>
        <v>0</v>
      </c>
      <c r="BG149" s="331">
        <f t="shared" si="56"/>
        <v>0</v>
      </c>
      <c r="BH149" s="331">
        <f t="shared" si="56"/>
        <v>0</v>
      </c>
      <c r="BI149" s="331">
        <f t="shared" si="56"/>
        <v>0</v>
      </c>
      <c r="BJ149" s="331">
        <f t="shared" si="56"/>
        <v>0</v>
      </c>
      <c r="BK149" s="331">
        <f t="shared" si="56"/>
        <v>0</v>
      </c>
      <c r="BL149" s="331">
        <f t="shared" si="56"/>
        <v>0</v>
      </c>
      <c r="BM149" s="331">
        <f t="shared" si="56"/>
        <v>0</v>
      </c>
    </row>
    <row r="150" spans="5:65" ht="15.75">
      <c r="E150" s="416">
        <f t="shared" si="44"/>
        <v>43652</v>
      </c>
      <c r="F150" s="331"/>
      <c r="G150" s="331"/>
      <c r="H150" s="331"/>
      <c r="I150" s="331"/>
      <c r="J150" s="331"/>
      <c r="K150" s="331"/>
      <c r="L150" s="331">
        <f aca="true" t="shared" si="57" ref="L150:U150">+($F214/$F$5)</f>
        <v>0</v>
      </c>
      <c r="M150" s="331">
        <f t="shared" si="57"/>
        <v>0</v>
      </c>
      <c r="N150" s="331">
        <f t="shared" si="57"/>
        <v>0</v>
      </c>
      <c r="O150" s="331">
        <f t="shared" si="57"/>
        <v>0</v>
      </c>
      <c r="P150" s="331">
        <f t="shared" si="57"/>
        <v>0</v>
      </c>
      <c r="Q150" s="331">
        <f t="shared" si="57"/>
        <v>0</v>
      </c>
      <c r="R150" s="331">
        <f t="shared" si="57"/>
        <v>0</v>
      </c>
      <c r="S150" s="331">
        <f t="shared" si="57"/>
        <v>0</v>
      </c>
      <c r="T150" s="331">
        <f t="shared" si="57"/>
        <v>0</v>
      </c>
      <c r="U150" s="331">
        <f t="shared" si="57"/>
        <v>0</v>
      </c>
      <c r="V150" s="331">
        <f aca="true" t="shared" si="58" ref="V150:BA150">+($F214/$F$5)</f>
        <v>0</v>
      </c>
      <c r="W150" s="331">
        <f t="shared" si="58"/>
        <v>0</v>
      </c>
      <c r="X150" s="331">
        <f t="shared" si="58"/>
        <v>0</v>
      </c>
      <c r="Y150" s="331">
        <f t="shared" si="58"/>
        <v>0</v>
      </c>
      <c r="Z150" s="331">
        <f t="shared" si="58"/>
        <v>0</v>
      </c>
      <c r="AA150" s="331">
        <f t="shared" si="58"/>
        <v>0</v>
      </c>
      <c r="AB150" s="331">
        <f t="shared" si="58"/>
        <v>0</v>
      </c>
      <c r="AC150" s="331">
        <f t="shared" si="58"/>
        <v>0</v>
      </c>
      <c r="AD150" s="331">
        <f t="shared" si="58"/>
        <v>0</v>
      </c>
      <c r="AE150" s="331">
        <f t="shared" si="58"/>
        <v>0</v>
      </c>
      <c r="AF150" s="331">
        <f t="shared" si="58"/>
        <v>0</v>
      </c>
      <c r="AG150" s="331">
        <f t="shared" si="58"/>
        <v>0</v>
      </c>
      <c r="AH150" s="331">
        <f t="shared" si="58"/>
        <v>0</v>
      </c>
      <c r="AI150" s="331">
        <f t="shared" si="58"/>
        <v>0</v>
      </c>
      <c r="AJ150" s="331">
        <f t="shared" si="58"/>
        <v>0</v>
      </c>
      <c r="AK150" s="331">
        <f t="shared" si="58"/>
        <v>0</v>
      </c>
      <c r="AL150" s="331">
        <f t="shared" si="58"/>
        <v>0</v>
      </c>
      <c r="AM150" s="331">
        <f t="shared" si="58"/>
        <v>0</v>
      </c>
      <c r="AN150" s="331">
        <f t="shared" si="58"/>
        <v>0</v>
      </c>
      <c r="AO150" s="331">
        <f t="shared" si="58"/>
        <v>0</v>
      </c>
      <c r="AP150" s="331">
        <f t="shared" si="58"/>
        <v>0</v>
      </c>
      <c r="AQ150" s="331">
        <f t="shared" si="58"/>
        <v>0</v>
      </c>
      <c r="AR150" s="331">
        <f t="shared" si="58"/>
        <v>0</v>
      </c>
      <c r="AS150" s="331">
        <f t="shared" si="58"/>
        <v>0</v>
      </c>
      <c r="AT150" s="331">
        <f t="shared" si="58"/>
        <v>0</v>
      </c>
      <c r="AU150" s="331">
        <f t="shared" si="58"/>
        <v>0</v>
      </c>
      <c r="AV150" s="331">
        <f t="shared" si="58"/>
        <v>0</v>
      </c>
      <c r="AW150" s="331">
        <f t="shared" si="58"/>
        <v>0</v>
      </c>
      <c r="AX150" s="331">
        <f t="shared" si="58"/>
        <v>0</v>
      </c>
      <c r="AY150" s="331">
        <f t="shared" si="58"/>
        <v>0</v>
      </c>
      <c r="AZ150" s="331">
        <f t="shared" si="58"/>
        <v>0</v>
      </c>
      <c r="BA150" s="331">
        <f t="shared" si="58"/>
        <v>0</v>
      </c>
      <c r="BB150" s="331">
        <f aca="true" t="shared" si="59" ref="BB150:BM150">+($F214/$F$5)</f>
        <v>0</v>
      </c>
      <c r="BC150" s="331">
        <f t="shared" si="59"/>
        <v>0</v>
      </c>
      <c r="BD150" s="331">
        <f t="shared" si="59"/>
        <v>0</v>
      </c>
      <c r="BE150" s="331">
        <f t="shared" si="59"/>
        <v>0</v>
      </c>
      <c r="BF150" s="331">
        <f t="shared" si="59"/>
        <v>0</v>
      </c>
      <c r="BG150" s="331">
        <f t="shared" si="59"/>
        <v>0</v>
      </c>
      <c r="BH150" s="331">
        <f t="shared" si="59"/>
        <v>0</v>
      </c>
      <c r="BI150" s="331">
        <f t="shared" si="59"/>
        <v>0</v>
      </c>
      <c r="BJ150" s="331">
        <f t="shared" si="59"/>
        <v>0</v>
      </c>
      <c r="BK150" s="331">
        <f t="shared" si="59"/>
        <v>0</v>
      </c>
      <c r="BL150" s="331">
        <f t="shared" si="59"/>
        <v>0</v>
      </c>
      <c r="BM150" s="331">
        <f t="shared" si="59"/>
        <v>0</v>
      </c>
    </row>
    <row r="151" spans="5:65" ht="15.75">
      <c r="E151" s="416">
        <f t="shared" si="44"/>
        <v>43683</v>
      </c>
      <c r="F151" s="331"/>
      <c r="G151" s="331"/>
      <c r="H151" s="331"/>
      <c r="I151" s="331"/>
      <c r="J151" s="331"/>
      <c r="K151" s="331"/>
      <c r="L151" s="331"/>
      <c r="M151" s="331">
        <f aca="true" t="shared" si="60" ref="M151:U151">+($F215/$F$5)</f>
        <v>0</v>
      </c>
      <c r="N151" s="331">
        <f t="shared" si="60"/>
        <v>0</v>
      </c>
      <c r="O151" s="331">
        <f t="shared" si="60"/>
        <v>0</v>
      </c>
      <c r="P151" s="331">
        <f t="shared" si="60"/>
        <v>0</v>
      </c>
      <c r="Q151" s="331">
        <f t="shared" si="60"/>
        <v>0</v>
      </c>
      <c r="R151" s="331">
        <f t="shared" si="60"/>
        <v>0</v>
      </c>
      <c r="S151" s="331">
        <f t="shared" si="60"/>
        <v>0</v>
      </c>
      <c r="T151" s="331">
        <f t="shared" si="60"/>
        <v>0</v>
      </c>
      <c r="U151" s="331">
        <f t="shared" si="60"/>
        <v>0</v>
      </c>
      <c r="V151" s="331">
        <f aca="true" t="shared" si="61" ref="V151:BA151">+($F215/$F$5)</f>
        <v>0</v>
      </c>
      <c r="W151" s="331">
        <f t="shared" si="61"/>
        <v>0</v>
      </c>
      <c r="X151" s="331">
        <f t="shared" si="61"/>
        <v>0</v>
      </c>
      <c r="Y151" s="331">
        <f t="shared" si="61"/>
        <v>0</v>
      </c>
      <c r="Z151" s="331">
        <f t="shared" si="61"/>
        <v>0</v>
      </c>
      <c r="AA151" s="331">
        <f t="shared" si="61"/>
        <v>0</v>
      </c>
      <c r="AB151" s="331">
        <f t="shared" si="61"/>
        <v>0</v>
      </c>
      <c r="AC151" s="331">
        <f t="shared" si="61"/>
        <v>0</v>
      </c>
      <c r="AD151" s="331">
        <f t="shared" si="61"/>
        <v>0</v>
      </c>
      <c r="AE151" s="331">
        <f t="shared" si="61"/>
        <v>0</v>
      </c>
      <c r="AF151" s="331">
        <f t="shared" si="61"/>
        <v>0</v>
      </c>
      <c r="AG151" s="331">
        <f t="shared" si="61"/>
        <v>0</v>
      </c>
      <c r="AH151" s="331">
        <f t="shared" si="61"/>
        <v>0</v>
      </c>
      <c r="AI151" s="331">
        <f t="shared" si="61"/>
        <v>0</v>
      </c>
      <c r="AJ151" s="331">
        <f t="shared" si="61"/>
        <v>0</v>
      </c>
      <c r="AK151" s="331">
        <f t="shared" si="61"/>
        <v>0</v>
      </c>
      <c r="AL151" s="331">
        <f t="shared" si="61"/>
        <v>0</v>
      </c>
      <c r="AM151" s="331">
        <f t="shared" si="61"/>
        <v>0</v>
      </c>
      <c r="AN151" s="331">
        <f t="shared" si="61"/>
        <v>0</v>
      </c>
      <c r="AO151" s="331">
        <f t="shared" si="61"/>
        <v>0</v>
      </c>
      <c r="AP151" s="331">
        <f t="shared" si="61"/>
        <v>0</v>
      </c>
      <c r="AQ151" s="331">
        <f t="shared" si="61"/>
        <v>0</v>
      </c>
      <c r="AR151" s="331">
        <f t="shared" si="61"/>
        <v>0</v>
      </c>
      <c r="AS151" s="331">
        <f t="shared" si="61"/>
        <v>0</v>
      </c>
      <c r="AT151" s="331">
        <f t="shared" si="61"/>
        <v>0</v>
      </c>
      <c r="AU151" s="331">
        <f t="shared" si="61"/>
        <v>0</v>
      </c>
      <c r="AV151" s="331">
        <f t="shared" si="61"/>
        <v>0</v>
      </c>
      <c r="AW151" s="331">
        <f t="shared" si="61"/>
        <v>0</v>
      </c>
      <c r="AX151" s="331">
        <f t="shared" si="61"/>
        <v>0</v>
      </c>
      <c r="AY151" s="331">
        <f t="shared" si="61"/>
        <v>0</v>
      </c>
      <c r="AZ151" s="331">
        <f t="shared" si="61"/>
        <v>0</v>
      </c>
      <c r="BA151" s="331">
        <f t="shared" si="61"/>
        <v>0</v>
      </c>
      <c r="BB151" s="331">
        <f aca="true" t="shared" si="62" ref="BB151:BM151">+($F215/$F$5)</f>
        <v>0</v>
      </c>
      <c r="BC151" s="331">
        <f t="shared" si="62"/>
        <v>0</v>
      </c>
      <c r="BD151" s="331">
        <f t="shared" si="62"/>
        <v>0</v>
      </c>
      <c r="BE151" s="331">
        <f t="shared" si="62"/>
        <v>0</v>
      </c>
      <c r="BF151" s="331">
        <f t="shared" si="62"/>
        <v>0</v>
      </c>
      <c r="BG151" s="331">
        <f t="shared" si="62"/>
        <v>0</v>
      </c>
      <c r="BH151" s="331">
        <f t="shared" si="62"/>
        <v>0</v>
      </c>
      <c r="BI151" s="331">
        <f t="shared" si="62"/>
        <v>0</v>
      </c>
      <c r="BJ151" s="331">
        <f t="shared" si="62"/>
        <v>0</v>
      </c>
      <c r="BK151" s="331">
        <f t="shared" si="62"/>
        <v>0</v>
      </c>
      <c r="BL151" s="331">
        <f t="shared" si="62"/>
        <v>0</v>
      </c>
      <c r="BM151" s="331">
        <f t="shared" si="62"/>
        <v>0</v>
      </c>
    </row>
    <row r="152" spans="5:65" ht="15.75">
      <c r="E152" s="416">
        <f t="shared" si="44"/>
        <v>43714</v>
      </c>
      <c r="F152" s="331"/>
      <c r="G152" s="331"/>
      <c r="H152" s="331"/>
      <c r="I152" s="331"/>
      <c r="J152" s="331"/>
      <c r="K152" s="331"/>
      <c r="L152" s="331"/>
      <c r="M152" s="331"/>
      <c r="N152" s="331">
        <f aca="true" t="shared" si="63" ref="N152:U152">+($F216/$F$5)</f>
        <v>0</v>
      </c>
      <c r="O152" s="331">
        <f t="shared" si="63"/>
        <v>0</v>
      </c>
      <c r="P152" s="331">
        <f t="shared" si="63"/>
        <v>0</v>
      </c>
      <c r="Q152" s="331">
        <f t="shared" si="63"/>
        <v>0</v>
      </c>
      <c r="R152" s="331">
        <f t="shared" si="63"/>
        <v>0</v>
      </c>
      <c r="S152" s="331">
        <f t="shared" si="63"/>
        <v>0</v>
      </c>
      <c r="T152" s="331">
        <f t="shared" si="63"/>
        <v>0</v>
      </c>
      <c r="U152" s="331">
        <f t="shared" si="63"/>
        <v>0</v>
      </c>
      <c r="V152" s="331">
        <f aca="true" t="shared" si="64" ref="V152:BA152">+($F216/$F$5)</f>
        <v>0</v>
      </c>
      <c r="W152" s="331">
        <f t="shared" si="64"/>
        <v>0</v>
      </c>
      <c r="X152" s="331">
        <f t="shared" si="64"/>
        <v>0</v>
      </c>
      <c r="Y152" s="331">
        <f t="shared" si="64"/>
        <v>0</v>
      </c>
      <c r="Z152" s="331">
        <f t="shared" si="64"/>
        <v>0</v>
      </c>
      <c r="AA152" s="331">
        <f t="shared" si="64"/>
        <v>0</v>
      </c>
      <c r="AB152" s="331">
        <f t="shared" si="64"/>
        <v>0</v>
      </c>
      <c r="AC152" s="331">
        <f t="shared" si="64"/>
        <v>0</v>
      </c>
      <c r="AD152" s="331">
        <f t="shared" si="64"/>
        <v>0</v>
      </c>
      <c r="AE152" s="331">
        <f t="shared" si="64"/>
        <v>0</v>
      </c>
      <c r="AF152" s="331">
        <f t="shared" si="64"/>
        <v>0</v>
      </c>
      <c r="AG152" s="331">
        <f t="shared" si="64"/>
        <v>0</v>
      </c>
      <c r="AH152" s="331">
        <f t="shared" si="64"/>
        <v>0</v>
      </c>
      <c r="AI152" s="331">
        <f t="shared" si="64"/>
        <v>0</v>
      </c>
      <c r="AJ152" s="331">
        <f t="shared" si="64"/>
        <v>0</v>
      </c>
      <c r="AK152" s="331">
        <f t="shared" si="64"/>
        <v>0</v>
      </c>
      <c r="AL152" s="331">
        <f t="shared" si="64"/>
        <v>0</v>
      </c>
      <c r="AM152" s="331">
        <f t="shared" si="64"/>
        <v>0</v>
      </c>
      <c r="AN152" s="331">
        <f t="shared" si="64"/>
        <v>0</v>
      </c>
      <c r="AO152" s="331">
        <f t="shared" si="64"/>
        <v>0</v>
      </c>
      <c r="AP152" s="331">
        <f t="shared" si="64"/>
        <v>0</v>
      </c>
      <c r="AQ152" s="331">
        <f t="shared" si="64"/>
        <v>0</v>
      </c>
      <c r="AR152" s="331">
        <f t="shared" si="64"/>
        <v>0</v>
      </c>
      <c r="AS152" s="331">
        <f t="shared" si="64"/>
        <v>0</v>
      </c>
      <c r="AT152" s="331">
        <f t="shared" si="64"/>
        <v>0</v>
      </c>
      <c r="AU152" s="331">
        <f t="shared" si="64"/>
        <v>0</v>
      </c>
      <c r="AV152" s="331">
        <f t="shared" si="64"/>
        <v>0</v>
      </c>
      <c r="AW152" s="331">
        <f t="shared" si="64"/>
        <v>0</v>
      </c>
      <c r="AX152" s="331">
        <f t="shared" si="64"/>
        <v>0</v>
      </c>
      <c r="AY152" s="331">
        <f t="shared" si="64"/>
        <v>0</v>
      </c>
      <c r="AZ152" s="331">
        <f t="shared" si="64"/>
        <v>0</v>
      </c>
      <c r="BA152" s="331">
        <f t="shared" si="64"/>
        <v>0</v>
      </c>
      <c r="BB152" s="331">
        <f aca="true" t="shared" si="65" ref="BB152:BM152">+($F216/$F$5)</f>
        <v>0</v>
      </c>
      <c r="BC152" s="331">
        <f t="shared" si="65"/>
        <v>0</v>
      </c>
      <c r="BD152" s="331">
        <f t="shared" si="65"/>
        <v>0</v>
      </c>
      <c r="BE152" s="331">
        <f t="shared" si="65"/>
        <v>0</v>
      </c>
      <c r="BF152" s="331">
        <f t="shared" si="65"/>
        <v>0</v>
      </c>
      <c r="BG152" s="331">
        <f t="shared" si="65"/>
        <v>0</v>
      </c>
      <c r="BH152" s="331">
        <f t="shared" si="65"/>
        <v>0</v>
      </c>
      <c r="BI152" s="331">
        <f t="shared" si="65"/>
        <v>0</v>
      </c>
      <c r="BJ152" s="331">
        <f t="shared" si="65"/>
        <v>0</v>
      </c>
      <c r="BK152" s="331">
        <f t="shared" si="65"/>
        <v>0</v>
      </c>
      <c r="BL152" s="331">
        <f t="shared" si="65"/>
        <v>0</v>
      </c>
      <c r="BM152" s="331">
        <f t="shared" si="65"/>
        <v>0</v>
      </c>
    </row>
    <row r="153" spans="5:65" ht="15.75">
      <c r="E153" s="416">
        <f t="shared" si="44"/>
        <v>43745</v>
      </c>
      <c r="F153" s="331"/>
      <c r="G153" s="331"/>
      <c r="H153" s="331"/>
      <c r="I153" s="331"/>
      <c r="J153" s="331"/>
      <c r="K153" s="331"/>
      <c r="L153" s="331"/>
      <c r="M153" s="331"/>
      <c r="N153" s="331"/>
      <c r="O153" s="331">
        <f aca="true" t="shared" si="66" ref="O153:U153">+($F217/$F$5)</f>
        <v>0</v>
      </c>
      <c r="P153" s="331">
        <f t="shared" si="66"/>
        <v>0</v>
      </c>
      <c r="Q153" s="331">
        <f t="shared" si="66"/>
        <v>0</v>
      </c>
      <c r="R153" s="331">
        <f t="shared" si="66"/>
        <v>0</v>
      </c>
      <c r="S153" s="331">
        <f t="shared" si="66"/>
        <v>0</v>
      </c>
      <c r="T153" s="331">
        <f t="shared" si="66"/>
        <v>0</v>
      </c>
      <c r="U153" s="331">
        <f t="shared" si="66"/>
        <v>0</v>
      </c>
      <c r="V153" s="331">
        <f aca="true" t="shared" si="67" ref="V153:BA153">+($F217/$F$5)</f>
        <v>0</v>
      </c>
      <c r="W153" s="331">
        <f t="shared" si="67"/>
        <v>0</v>
      </c>
      <c r="X153" s="331">
        <f t="shared" si="67"/>
        <v>0</v>
      </c>
      <c r="Y153" s="331">
        <f t="shared" si="67"/>
        <v>0</v>
      </c>
      <c r="Z153" s="331">
        <f t="shared" si="67"/>
        <v>0</v>
      </c>
      <c r="AA153" s="331">
        <f t="shared" si="67"/>
        <v>0</v>
      </c>
      <c r="AB153" s="331">
        <f t="shared" si="67"/>
        <v>0</v>
      </c>
      <c r="AC153" s="331">
        <f t="shared" si="67"/>
        <v>0</v>
      </c>
      <c r="AD153" s="331">
        <f t="shared" si="67"/>
        <v>0</v>
      </c>
      <c r="AE153" s="331">
        <f t="shared" si="67"/>
        <v>0</v>
      </c>
      <c r="AF153" s="331">
        <f t="shared" si="67"/>
        <v>0</v>
      </c>
      <c r="AG153" s="331">
        <f t="shared" si="67"/>
        <v>0</v>
      </c>
      <c r="AH153" s="331">
        <f t="shared" si="67"/>
        <v>0</v>
      </c>
      <c r="AI153" s="331">
        <f t="shared" si="67"/>
        <v>0</v>
      </c>
      <c r="AJ153" s="331">
        <f t="shared" si="67"/>
        <v>0</v>
      </c>
      <c r="AK153" s="331">
        <f t="shared" si="67"/>
        <v>0</v>
      </c>
      <c r="AL153" s="331">
        <f t="shared" si="67"/>
        <v>0</v>
      </c>
      <c r="AM153" s="331">
        <f t="shared" si="67"/>
        <v>0</v>
      </c>
      <c r="AN153" s="331">
        <f t="shared" si="67"/>
        <v>0</v>
      </c>
      <c r="AO153" s="331">
        <f t="shared" si="67"/>
        <v>0</v>
      </c>
      <c r="AP153" s="331">
        <f t="shared" si="67"/>
        <v>0</v>
      </c>
      <c r="AQ153" s="331">
        <f t="shared" si="67"/>
        <v>0</v>
      </c>
      <c r="AR153" s="331">
        <f t="shared" si="67"/>
        <v>0</v>
      </c>
      <c r="AS153" s="331">
        <f t="shared" si="67"/>
        <v>0</v>
      </c>
      <c r="AT153" s="331">
        <f t="shared" si="67"/>
        <v>0</v>
      </c>
      <c r="AU153" s="331">
        <f t="shared" si="67"/>
        <v>0</v>
      </c>
      <c r="AV153" s="331">
        <f t="shared" si="67"/>
        <v>0</v>
      </c>
      <c r="AW153" s="331">
        <f t="shared" si="67"/>
        <v>0</v>
      </c>
      <c r="AX153" s="331">
        <f t="shared" si="67"/>
        <v>0</v>
      </c>
      <c r="AY153" s="331">
        <f t="shared" si="67"/>
        <v>0</v>
      </c>
      <c r="AZ153" s="331">
        <f t="shared" si="67"/>
        <v>0</v>
      </c>
      <c r="BA153" s="331">
        <f t="shared" si="67"/>
        <v>0</v>
      </c>
      <c r="BB153" s="331">
        <f aca="true" t="shared" si="68" ref="BB153:BM153">+($F217/$F$5)</f>
        <v>0</v>
      </c>
      <c r="BC153" s="331">
        <f t="shared" si="68"/>
        <v>0</v>
      </c>
      <c r="BD153" s="331">
        <f t="shared" si="68"/>
        <v>0</v>
      </c>
      <c r="BE153" s="331">
        <f t="shared" si="68"/>
        <v>0</v>
      </c>
      <c r="BF153" s="331">
        <f t="shared" si="68"/>
        <v>0</v>
      </c>
      <c r="BG153" s="331">
        <f t="shared" si="68"/>
        <v>0</v>
      </c>
      <c r="BH153" s="331">
        <f t="shared" si="68"/>
        <v>0</v>
      </c>
      <c r="BI153" s="331">
        <f t="shared" si="68"/>
        <v>0</v>
      </c>
      <c r="BJ153" s="331">
        <f t="shared" si="68"/>
        <v>0</v>
      </c>
      <c r="BK153" s="331">
        <f t="shared" si="68"/>
        <v>0</v>
      </c>
      <c r="BL153" s="331">
        <f t="shared" si="68"/>
        <v>0</v>
      </c>
      <c r="BM153" s="331">
        <f t="shared" si="68"/>
        <v>0</v>
      </c>
    </row>
    <row r="154" spans="5:65" ht="15.75">
      <c r="E154" s="416">
        <f t="shared" si="44"/>
        <v>43776</v>
      </c>
      <c r="F154" s="331"/>
      <c r="G154" s="331"/>
      <c r="H154" s="331"/>
      <c r="I154" s="331"/>
      <c r="J154" s="331"/>
      <c r="K154" s="331"/>
      <c r="L154" s="331"/>
      <c r="M154" s="331"/>
      <c r="N154" s="331"/>
      <c r="O154" s="331"/>
      <c r="P154" s="331">
        <f aca="true" t="shared" si="69" ref="P154:U154">+($F218/$F$5)</f>
        <v>0</v>
      </c>
      <c r="Q154" s="331">
        <f t="shared" si="69"/>
        <v>0</v>
      </c>
      <c r="R154" s="331">
        <f t="shared" si="69"/>
        <v>0</v>
      </c>
      <c r="S154" s="331">
        <f t="shared" si="69"/>
        <v>0</v>
      </c>
      <c r="T154" s="331">
        <f t="shared" si="69"/>
        <v>0</v>
      </c>
      <c r="U154" s="331">
        <f t="shared" si="69"/>
        <v>0</v>
      </c>
      <c r="V154" s="331">
        <f aca="true" t="shared" si="70" ref="V154:BA154">+($F218/$F$5)</f>
        <v>0</v>
      </c>
      <c r="W154" s="331">
        <f t="shared" si="70"/>
        <v>0</v>
      </c>
      <c r="X154" s="331">
        <f t="shared" si="70"/>
        <v>0</v>
      </c>
      <c r="Y154" s="331">
        <f t="shared" si="70"/>
        <v>0</v>
      </c>
      <c r="Z154" s="331">
        <f t="shared" si="70"/>
        <v>0</v>
      </c>
      <c r="AA154" s="331">
        <f t="shared" si="70"/>
        <v>0</v>
      </c>
      <c r="AB154" s="331">
        <f t="shared" si="70"/>
        <v>0</v>
      </c>
      <c r="AC154" s="331">
        <f t="shared" si="70"/>
        <v>0</v>
      </c>
      <c r="AD154" s="331">
        <f t="shared" si="70"/>
        <v>0</v>
      </c>
      <c r="AE154" s="331">
        <f t="shared" si="70"/>
        <v>0</v>
      </c>
      <c r="AF154" s="331">
        <f t="shared" si="70"/>
        <v>0</v>
      </c>
      <c r="AG154" s="331">
        <f t="shared" si="70"/>
        <v>0</v>
      </c>
      <c r="AH154" s="331">
        <f t="shared" si="70"/>
        <v>0</v>
      </c>
      <c r="AI154" s="331">
        <f t="shared" si="70"/>
        <v>0</v>
      </c>
      <c r="AJ154" s="331">
        <f t="shared" si="70"/>
        <v>0</v>
      </c>
      <c r="AK154" s="331">
        <f t="shared" si="70"/>
        <v>0</v>
      </c>
      <c r="AL154" s="331">
        <f t="shared" si="70"/>
        <v>0</v>
      </c>
      <c r="AM154" s="331">
        <f t="shared" si="70"/>
        <v>0</v>
      </c>
      <c r="AN154" s="331">
        <f t="shared" si="70"/>
        <v>0</v>
      </c>
      <c r="AO154" s="331">
        <f t="shared" si="70"/>
        <v>0</v>
      </c>
      <c r="AP154" s="331">
        <f t="shared" si="70"/>
        <v>0</v>
      </c>
      <c r="AQ154" s="331">
        <f t="shared" si="70"/>
        <v>0</v>
      </c>
      <c r="AR154" s="331">
        <f t="shared" si="70"/>
        <v>0</v>
      </c>
      <c r="AS154" s="331">
        <f t="shared" si="70"/>
        <v>0</v>
      </c>
      <c r="AT154" s="331">
        <f t="shared" si="70"/>
        <v>0</v>
      </c>
      <c r="AU154" s="331">
        <f t="shared" si="70"/>
        <v>0</v>
      </c>
      <c r="AV154" s="331">
        <f t="shared" si="70"/>
        <v>0</v>
      </c>
      <c r="AW154" s="331">
        <f t="shared" si="70"/>
        <v>0</v>
      </c>
      <c r="AX154" s="331">
        <f t="shared" si="70"/>
        <v>0</v>
      </c>
      <c r="AY154" s="331">
        <f t="shared" si="70"/>
        <v>0</v>
      </c>
      <c r="AZ154" s="331">
        <f t="shared" si="70"/>
        <v>0</v>
      </c>
      <c r="BA154" s="331">
        <f t="shared" si="70"/>
        <v>0</v>
      </c>
      <c r="BB154" s="331">
        <f aca="true" t="shared" si="71" ref="BB154:BM154">+($F218/$F$5)</f>
        <v>0</v>
      </c>
      <c r="BC154" s="331">
        <f t="shared" si="71"/>
        <v>0</v>
      </c>
      <c r="BD154" s="331">
        <f t="shared" si="71"/>
        <v>0</v>
      </c>
      <c r="BE154" s="331">
        <f t="shared" si="71"/>
        <v>0</v>
      </c>
      <c r="BF154" s="331">
        <f t="shared" si="71"/>
        <v>0</v>
      </c>
      <c r="BG154" s="331">
        <f t="shared" si="71"/>
        <v>0</v>
      </c>
      <c r="BH154" s="331">
        <f t="shared" si="71"/>
        <v>0</v>
      </c>
      <c r="BI154" s="331">
        <f t="shared" si="71"/>
        <v>0</v>
      </c>
      <c r="BJ154" s="331">
        <f t="shared" si="71"/>
        <v>0</v>
      </c>
      <c r="BK154" s="331">
        <f t="shared" si="71"/>
        <v>0</v>
      </c>
      <c r="BL154" s="331">
        <f t="shared" si="71"/>
        <v>0</v>
      </c>
      <c r="BM154" s="331">
        <f t="shared" si="71"/>
        <v>0</v>
      </c>
    </row>
    <row r="155" spans="5:65" ht="15.75">
      <c r="E155" s="416">
        <f t="shared" si="44"/>
        <v>43807</v>
      </c>
      <c r="F155" s="331"/>
      <c r="G155" s="331"/>
      <c r="H155" s="331"/>
      <c r="I155" s="331"/>
      <c r="J155" s="331"/>
      <c r="K155" s="331"/>
      <c r="L155" s="331"/>
      <c r="M155" s="331"/>
      <c r="N155" s="331"/>
      <c r="O155" s="331"/>
      <c r="P155" s="331"/>
      <c r="Q155" s="331">
        <f>+($F219/$F$5)</f>
        <v>0</v>
      </c>
      <c r="R155" s="331">
        <f>+($F219/$F$5)</f>
        <v>0</v>
      </c>
      <c r="S155" s="331">
        <f>+($F219/$F$5)</f>
        <v>0</v>
      </c>
      <c r="T155" s="331">
        <f>+($F219/$F$5)</f>
        <v>0</v>
      </c>
      <c r="U155" s="331">
        <f>+($F219/$F$5)</f>
        <v>0</v>
      </c>
      <c r="V155" s="331">
        <f aca="true" t="shared" si="72" ref="V155:BA155">+($F219/$F$5)</f>
        <v>0</v>
      </c>
      <c r="W155" s="331">
        <f t="shared" si="72"/>
        <v>0</v>
      </c>
      <c r="X155" s="331">
        <f t="shared" si="72"/>
        <v>0</v>
      </c>
      <c r="Y155" s="331">
        <f t="shared" si="72"/>
        <v>0</v>
      </c>
      <c r="Z155" s="331">
        <f t="shared" si="72"/>
        <v>0</v>
      </c>
      <c r="AA155" s="331">
        <f t="shared" si="72"/>
        <v>0</v>
      </c>
      <c r="AB155" s="331">
        <f t="shared" si="72"/>
        <v>0</v>
      </c>
      <c r="AC155" s="331">
        <f t="shared" si="72"/>
        <v>0</v>
      </c>
      <c r="AD155" s="331">
        <f t="shared" si="72"/>
        <v>0</v>
      </c>
      <c r="AE155" s="331">
        <f t="shared" si="72"/>
        <v>0</v>
      </c>
      <c r="AF155" s="331">
        <f t="shared" si="72"/>
        <v>0</v>
      </c>
      <c r="AG155" s="331">
        <f t="shared" si="72"/>
        <v>0</v>
      </c>
      <c r="AH155" s="331">
        <f t="shared" si="72"/>
        <v>0</v>
      </c>
      <c r="AI155" s="331">
        <f t="shared" si="72"/>
        <v>0</v>
      </c>
      <c r="AJ155" s="331">
        <f t="shared" si="72"/>
        <v>0</v>
      </c>
      <c r="AK155" s="331">
        <f t="shared" si="72"/>
        <v>0</v>
      </c>
      <c r="AL155" s="331">
        <f t="shared" si="72"/>
        <v>0</v>
      </c>
      <c r="AM155" s="331">
        <f t="shared" si="72"/>
        <v>0</v>
      </c>
      <c r="AN155" s="331">
        <f t="shared" si="72"/>
        <v>0</v>
      </c>
      <c r="AO155" s="331">
        <f t="shared" si="72"/>
        <v>0</v>
      </c>
      <c r="AP155" s="331">
        <f t="shared" si="72"/>
        <v>0</v>
      </c>
      <c r="AQ155" s="331">
        <f t="shared" si="72"/>
        <v>0</v>
      </c>
      <c r="AR155" s="331">
        <f t="shared" si="72"/>
        <v>0</v>
      </c>
      <c r="AS155" s="331">
        <f t="shared" si="72"/>
        <v>0</v>
      </c>
      <c r="AT155" s="331">
        <f t="shared" si="72"/>
        <v>0</v>
      </c>
      <c r="AU155" s="331">
        <f t="shared" si="72"/>
        <v>0</v>
      </c>
      <c r="AV155" s="331">
        <f t="shared" si="72"/>
        <v>0</v>
      </c>
      <c r="AW155" s="331">
        <f t="shared" si="72"/>
        <v>0</v>
      </c>
      <c r="AX155" s="331">
        <f t="shared" si="72"/>
        <v>0</v>
      </c>
      <c r="AY155" s="331">
        <f t="shared" si="72"/>
        <v>0</v>
      </c>
      <c r="AZ155" s="331">
        <f t="shared" si="72"/>
        <v>0</v>
      </c>
      <c r="BA155" s="331">
        <f t="shared" si="72"/>
        <v>0</v>
      </c>
      <c r="BB155" s="331">
        <f aca="true" t="shared" si="73" ref="BB155:BM155">+($F219/$F$5)</f>
        <v>0</v>
      </c>
      <c r="BC155" s="331">
        <f t="shared" si="73"/>
        <v>0</v>
      </c>
      <c r="BD155" s="331">
        <f t="shared" si="73"/>
        <v>0</v>
      </c>
      <c r="BE155" s="331">
        <f t="shared" si="73"/>
        <v>0</v>
      </c>
      <c r="BF155" s="331">
        <f t="shared" si="73"/>
        <v>0</v>
      </c>
      <c r="BG155" s="331">
        <f t="shared" si="73"/>
        <v>0</v>
      </c>
      <c r="BH155" s="331">
        <f t="shared" si="73"/>
        <v>0</v>
      </c>
      <c r="BI155" s="331">
        <f t="shared" si="73"/>
        <v>0</v>
      </c>
      <c r="BJ155" s="331">
        <f t="shared" si="73"/>
        <v>0</v>
      </c>
      <c r="BK155" s="331">
        <f t="shared" si="73"/>
        <v>0</v>
      </c>
      <c r="BL155" s="331">
        <f t="shared" si="73"/>
        <v>0</v>
      </c>
      <c r="BM155" s="331">
        <f t="shared" si="73"/>
        <v>0</v>
      </c>
    </row>
    <row r="156" spans="5:65" ht="15.75">
      <c r="E156" s="416">
        <f t="shared" si="44"/>
        <v>43838</v>
      </c>
      <c r="F156" s="331"/>
      <c r="G156" s="331"/>
      <c r="H156" s="331"/>
      <c r="I156" s="331"/>
      <c r="J156" s="331"/>
      <c r="K156" s="331"/>
      <c r="L156" s="331"/>
      <c r="M156" s="331"/>
      <c r="N156" s="331"/>
      <c r="O156" s="331"/>
      <c r="P156" s="331"/>
      <c r="Q156" s="331"/>
      <c r="R156" s="331">
        <f>+($F220/$F$5)</f>
        <v>0</v>
      </c>
      <c r="S156" s="331">
        <f>+($F220/$F$5)</f>
        <v>0</v>
      </c>
      <c r="T156" s="331">
        <f>+($F220/$F$5)</f>
        <v>0</v>
      </c>
      <c r="U156" s="331">
        <f>+($F220/$F$5)</f>
        <v>0</v>
      </c>
      <c r="V156" s="331">
        <f aca="true" t="shared" si="74" ref="V156:BA156">+($F220/$F$5)</f>
        <v>0</v>
      </c>
      <c r="W156" s="331">
        <f t="shared" si="74"/>
        <v>0</v>
      </c>
      <c r="X156" s="331">
        <f t="shared" si="74"/>
        <v>0</v>
      </c>
      <c r="Y156" s="331">
        <f t="shared" si="74"/>
        <v>0</v>
      </c>
      <c r="Z156" s="331">
        <f t="shared" si="74"/>
        <v>0</v>
      </c>
      <c r="AA156" s="331">
        <f t="shared" si="74"/>
        <v>0</v>
      </c>
      <c r="AB156" s="331">
        <f t="shared" si="74"/>
        <v>0</v>
      </c>
      <c r="AC156" s="331">
        <f t="shared" si="74"/>
        <v>0</v>
      </c>
      <c r="AD156" s="331">
        <f t="shared" si="74"/>
        <v>0</v>
      </c>
      <c r="AE156" s="331">
        <f t="shared" si="74"/>
        <v>0</v>
      </c>
      <c r="AF156" s="331">
        <f t="shared" si="74"/>
        <v>0</v>
      </c>
      <c r="AG156" s="331">
        <f t="shared" si="74"/>
        <v>0</v>
      </c>
      <c r="AH156" s="331">
        <f t="shared" si="74"/>
        <v>0</v>
      </c>
      <c r="AI156" s="331">
        <f t="shared" si="74"/>
        <v>0</v>
      </c>
      <c r="AJ156" s="331">
        <f t="shared" si="74"/>
        <v>0</v>
      </c>
      <c r="AK156" s="331">
        <f t="shared" si="74"/>
        <v>0</v>
      </c>
      <c r="AL156" s="331">
        <f t="shared" si="74"/>
        <v>0</v>
      </c>
      <c r="AM156" s="331">
        <f t="shared" si="74"/>
        <v>0</v>
      </c>
      <c r="AN156" s="331">
        <f t="shared" si="74"/>
        <v>0</v>
      </c>
      <c r="AO156" s="331">
        <f t="shared" si="74"/>
        <v>0</v>
      </c>
      <c r="AP156" s="331">
        <f t="shared" si="74"/>
        <v>0</v>
      </c>
      <c r="AQ156" s="331">
        <f t="shared" si="74"/>
        <v>0</v>
      </c>
      <c r="AR156" s="331">
        <f t="shared" si="74"/>
        <v>0</v>
      </c>
      <c r="AS156" s="331">
        <f t="shared" si="74"/>
        <v>0</v>
      </c>
      <c r="AT156" s="331">
        <f t="shared" si="74"/>
        <v>0</v>
      </c>
      <c r="AU156" s="331">
        <f t="shared" si="74"/>
        <v>0</v>
      </c>
      <c r="AV156" s="331">
        <f t="shared" si="74"/>
        <v>0</v>
      </c>
      <c r="AW156" s="331">
        <f t="shared" si="74"/>
        <v>0</v>
      </c>
      <c r="AX156" s="331">
        <f t="shared" si="74"/>
        <v>0</v>
      </c>
      <c r="AY156" s="331">
        <f t="shared" si="74"/>
        <v>0</v>
      </c>
      <c r="AZ156" s="331">
        <f t="shared" si="74"/>
        <v>0</v>
      </c>
      <c r="BA156" s="331">
        <f t="shared" si="74"/>
        <v>0</v>
      </c>
      <c r="BB156" s="331">
        <f aca="true" t="shared" si="75" ref="BB156:BM156">+($F220/$F$5)</f>
        <v>0</v>
      </c>
      <c r="BC156" s="331">
        <f t="shared" si="75"/>
        <v>0</v>
      </c>
      <c r="BD156" s="331">
        <f t="shared" si="75"/>
        <v>0</v>
      </c>
      <c r="BE156" s="331">
        <f t="shared" si="75"/>
        <v>0</v>
      </c>
      <c r="BF156" s="331">
        <f t="shared" si="75"/>
        <v>0</v>
      </c>
      <c r="BG156" s="331">
        <f t="shared" si="75"/>
        <v>0</v>
      </c>
      <c r="BH156" s="331">
        <f t="shared" si="75"/>
        <v>0</v>
      </c>
      <c r="BI156" s="331">
        <f t="shared" si="75"/>
        <v>0</v>
      </c>
      <c r="BJ156" s="331">
        <f t="shared" si="75"/>
        <v>0</v>
      </c>
      <c r="BK156" s="331">
        <f t="shared" si="75"/>
        <v>0</v>
      </c>
      <c r="BL156" s="331">
        <f t="shared" si="75"/>
        <v>0</v>
      </c>
      <c r="BM156" s="331">
        <f t="shared" si="75"/>
        <v>0</v>
      </c>
    </row>
    <row r="157" spans="5:65" s="331" customFormat="1" ht="15.75">
      <c r="E157" s="416">
        <f t="shared" si="44"/>
        <v>43869</v>
      </c>
      <c r="S157" s="331">
        <f>+($F221/$F$5)</f>
        <v>0</v>
      </c>
      <c r="T157" s="331">
        <f>+($F221/$F$5)</f>
        <v>0</v>
      </c>
      <c r="U157" s="331">
        <f>+($F221/$F$5)</f>
        <v>0</v>
      </c>
      <c r="V157" s="331">
        <f aca="true" t="shared" si="76" ref="V157:BA157">+($F221/$F$5)</f>
        <v>0</v>
      </c>
      <c r="W157" s="331">
        <f t="shared" si="76"/>
        <v>0</v>
      </c>
      <c r="X157" s="331">
        <f t="shared" si="76"/>
        <v>0</v>
      </c>
      <c r="Y157" s="331">
        <f t="shared" si="76"/>
        <v>0</v>
      </c>
      <c r="Z157" s="331">
        <f t="shared" si="76"/>
        <v>0</v>
      </c>
      <c r="AA157" s="331">
        <f t="shared" si="76"/>
        <v>0</v>
      </c>
      <c r="AB157" s="331">
        <f t="shared" si="76"/>
        <v>0</v>
      </c>
      <c r="AC157" s="331">
        <f t="shared" si="76"/>
        <v>0</v>
      </c>
      <c r="AD157" s="331">
        <f t="shared" si="76"/>
        <v>0</v>
      </c>
      <c r="AE157" s="331">
        <f t="shared" si="76"/>
        <v>0</v>
      </c>
      <c r="AF157" s="331">
        <f t="shared" si="76"/>
        <v>0</v>
      </c>
      <c r="AG157" s="331">
        <f t="shared" si="76"/>
        <v>0</v>
      </c>
      <c r="AH157" s="331">
        <f t="shared" si="76"/>
        <v>0</v>
      </c>
      <c r="AI157" s="331">
        <f t="shared" si="76"/>
        <v>0</v>
      </c>
      <c r="AJ157" s="331">
        <f t="shared" si="76"/>
        <v>0</v>
      </c>
      <c r="AK157" s="331">
        <f t="shared" si="76"/>
        <v>0</v>
      </c>
      <c r="AL157" s="331">
        <f t="shared" si="76"/>
        <v>0</v>
      </c>
      <c r="AM157" s="331">
        <f t="shared" si="76"/>
        <v>0</v>
      </c>
      <c r="AN157" s="331">
        <f t="shared" si="76"/>
        <v>0</v>
      </c>
      <c r="AO157" s="331">
        <f t="shared" si="76"/>
        <v>0</v>
      </c>
      <c r="AP157" s="331">
        <f t="shared" si="76"/>
        <v>0</v>
      </c>
      <c r="AQ157" s="331">
        <f t="shared" si="76"/>
        <v>0</v>
      </c>
      <c r="AR157" s="331">
        <f t="shared" si="76"/>
        <v>0</v>
      </c>
      <c r="AS157" s="331">
        <f t="shared" si="76"/>
        <v>0</v>
      </c>
      <c r="AT157" s="331">
        <f t="shared" si="76"/>
        <v>0</v>
      </c>
      <c r="AU157" s="331">
        <f t="shared" si="76"/>
        <v>0</v>
      </c>
      <c r="AV157" s="331">
        <f t="shared" si="76"/>
        <v>0</v>
      </c>
      <c r="AW157" s="331">
        <f t="shared" si="76"/>
        <v>0</v>
      </c>
      <c r="AX157" s="331">
        <f t="shared" si="76"/>
        <v>0</v>
      </c>
      <c r="AY157" s="331">
        <f t="shared" si="76"/>
        <v>0</v>
      </c>
      <c r="AZ157" s="331">
        <f t="shared" si="76"/>
        <v>0</v>
      </c>
      <c r="BA157" s="331">
        <f t="shared" si="76"/>
        <v>0</v>
      </c>
      <c r="BB157" s="331">
        <f aca="true" t="shared" si="77" ref="BB157:BM157">+($F221/$F$5)</f>
        <v>0</v>
      </c>
      <c r="BC157" s="331">
        <f t="shared" si="77"/>
        <v>0</v>
      </c>
      <c r="BD157" s="331">
        <f t="shared" si="77"/>
        <v>0</v>
      </c>
      <c r="BE157" s="331">
        <f t="shared" si="77"/>
        <v>0</v>
      </c>
      <c r="BF157" s="331">
        <f t="shared" si="77"/>
        <v>0</v>
      </c>
      <c r="BG157" s="331">
        <f t="shared" si="77"/>
        <v>0</v>
      </c>
      <c r="BH157" s="331">
        <f t="shared" si="77"/>
        <v>0</v>
      </c>
      <c r="BI157" s="331">
        <f t="shared" si="77"/>
        <v>0</v>
      </c>
      <c r="BJ157" s="331">
        <f t="shared" si="77"/>
        <v>0</v>
      </c>
      <c r="BK157" s="331">
        <f t="shared" si="77"/>
        <v>0</v>
      </c>
      <c r="BL157" s="331">
        <f t="shared" si="77"/>
        <v>0</v>
      </c>
      <c r="BM157" s="331">
        <f t="shared" si="77"/>
        <v>0</v>
      </c>
    </row>
    <row r="158" spans="5:65" ht="15.75">
      <c r="E158" s="416">
        <f t="shared" si="44"/>
        <v>43900</v>
      </c>
      <c r="F158" s="331"/>
      <c r="G158" s="331"/>
      <c r="H158" s="331"/>
      <c r="I158" s="331"/>
      <c r="J158" s="331"/>
      <c r="K158" s="331"/>
      <c r="L158" s="331"/>
      <c r="M158" s="331"/>
      <c r="N158" s="331"/>
      <c r="O158" s="331"/>
      <c r="P158" s="331"/>
      <c r="Q158" s="331"/>
      <c r="R158" s="331"/>
      <c r="S158" s="331"/>
      <c r="T158" s="331">
        <f>+($F222/$F$5)</f>
        <v>0</v>
      </c>
      <c r="U158" s="331">
        <f>+($F222/$F$5)</f>
        <v>0</v>
      </c>
      <c r="V158" s="331">
        <f aca="true" t="shared" si="78" ref="V158:BA158">+($F222/$F$5)</f>
        <v>0</v>
      </c>
      <c r="W158" s="331">
        <f t="shared" si="78"/>
        <v>0</v>
      </c>
      <c r="X158" s="331">
        <f t="shared" si="78"/>
        <v>0</v>
      </c>
      <c r="Y158" s="331">
        <f t="shared" si="78"/>
        <v>0</v>
      </c>
      <c r="Z158" s="331">
        <f t="shared" si="78"/>
        <v>0</v>
      </c>
      <c r="AA158" s="331">
        <f t="shared" si="78"/>
        <v>0</v>
      </c>
      <c r="AB158" s="331">
        <f t="shared" si="78"/>
        <v>0</v>
      </c>
      <c r="AC158" s="331">
        <f t="shared" si="78"/>
        <v>0</v>
      </c>
      <c r="AD158" s="331">
        <f t="shared" si="78"/>
        <v>0</v>
      </c>
      <c r="AE158" s="331">
        <f t="shared" si="78"/>
        <v>0</v>
      </c>
      <c r="AF158" s="331">
        <f t="shared" si="78"/>
        <v>0</v>
      </c>
      <c r="AG158" s="331">
        <f t="shared" si="78"/>
        <v>0</v>
      </c>
      <c r="AH158" s="331">
        <f t="shared" si="78"/>
        <v>0</v>
      </c>
      <c r="AI158" s="331">
        <f t="shared" si="78"/>
        <v>0</v>
      </c>
      <c r="AJ158" s="331">
        <f t="shared" si="78"/>
        <v>0</v>
      </c>
      <c r="AK158" s="331">
        <f t="shared" si="78"/>
        <v>0</v>
      </c>
      <c r="AL158" s="331">
        <f t="shared" si="78"/>
        <v>0</v>
      </c>
      <c r="AM158" s="331">
        <f t="shared" si="78"/>
        <v>0</v>
      </c>
      <c r="AN158" s="331">
        <f t="shared" si="78"/>
        <v>0</v>
      </c>
      <c r="AO158" s="331">
        <f t="shared" si="78"/>
        <v>0</v>
      </c>
      <c r="AP158" s="331">
        <f t="shared" si="78"/>
        <v>0</v>
      </c>
      <c r="AQ158" s="331">
        <f t="shared" si="78"/>
        <v>0</v>
      </c>
      <c r="AR158" s="331">
        <f t="shared" si="78"/>
        <v>0</v>
      </c>
      <c r="AS158" s="331">
        <f t="shared" si="78"/>
        <v>0</v>
      </c>
      <c r="AT158" s="331">
        <f t="shared" si="78"/>
        <v>0</v>
      </c>
      <c r="AU158" s="331">
        <f t="shared" si="78"/>
        <v>0</v>
      </c>
      <c r="AV158" s="331">
        <f t="shared" si="78"/>
        <v>0</v>
      </c>
      <c r="AW158" s="331">
        <f t="shared" si="78"/>
        <v>0</v>
      </c>
      <c r="AX158" s="331">
        <f t="shared" si="78"/>
        <v>0</v>
      </c>
      <c r="AY158" s="331">
        <f t="shared" si="78"/>
        <v>0</v>
      </c>
      <c r="AZ158" s="331">
        <f t="shared" si="78"/>
        <v>0</v>
      </c>
      <c r="BA158" s="331">
        <f t="shared" si="78"/>
        <v>0</v>
      </c>
      <c r="BB158" s="331">
        <f aca="true" t="shared" si="79" ref="BB158:BM158">+($F222/$F$5)</f>
        <v>0</v>
      </c>
      <c r="BC158" s="331">
        <f t="shared" si="79"/>
        <v>0</v>
      </c>
      <c r="BD158" s="331">
        <f t="shared" si="79"/>
        <v>0</v>
      </c>
      <c r="BE158" s="331">
        <f t="shared" si="79"/>
        <v>0</v>
      </c>
      <c r="BF158" s="331">
        <f t="shared" si="79"/>
        <v>0</v>
      </c>
      <c r="BG158" s="331">
        <f t="shared" si="79"/>
        <v>0</v>
      </c>
      <c r="BH158" s="331">
        <f t="shared" si="79"/>
        <v>0</v>
      </c>
      <c r="BI158" s="331">
        <f t="shared" si="79"/>
        <v>0</v>
      </c>
      <c r="BJ158" s="331">
        <f t="shared" si="79"/>
        <v>0</v>
      </c>
      <c r="BK158" s="331">
        <f t="shared" si="79"/>
        <v>0</v>
      </c>
      <c r="BL158" s="331">
        <f t="shared" si="79"/>
        <v>0</v>
      </c>
      <c r="BM158" s="331">
        <f t="shared" si="79"/>
        <v>0</v>
      </c>
    </row>
    <row r="159" spans="5:65" ht="15.75">
      <c r="E159" s="416">
        <f t="shared" si="44"/>
        <v>43931</v>
      </c>
      <c r="F159" s="331"/>
      <c r="G159" s="331"/>
      <c r="H159" s="331"/>
      <c r="I159" s="331"/>
      <c r="J159" s="331"/>
      <c r="K159" s="331"/>
      <c r="L159" s="331"/>
      <c r="M159" s="331"/>
      <c r="N159" s="331"/>
      <c r="O159" s="331"/>
      <c r="P159" s="331"/>
      <c r="Q159" s="331"/>
      <c r="R159" s="331"/>
      <c r="S159" s="331"/>
      <c r="T159" s="331"/>
      <c r="U159" s="331">
        <f>+($F223/$F$5)</f>
        <v>0</v>
      </c>
      <c r="V159" s="331">
        <f aca="true" t="shared" si="80" ref="V159:BA159">+($F223/$F$5)</f>
        <v>0</v>
      </c>
      <c r="W159" s="331">
        <f t="shared" si="80"/>
        <v>0</v>
      </c>
      <c r="X159" s="331">
        <f t="shared" si="80"/>
        <v>0</v>
      </c>
      <c r="Y159" s="331">
        <f t="shared" si="80"/>
        <v>0</v>
      </c>
      <c r="Z159" s="331">
        <f t="shared" si="80"/>
        <v>0</v>
      </c>
      <c r="AA159" s="331">
        <f t="shared" si="80"/>
        <v>0</v>
      </c>
      <c r="AB159" s="331">
        <f t="shared" si="80"/>
        <v>0</v>
      </c>
      <c r="AC159" s="331">
        <f t="shared" si="80"/>
        <v>0</v>
      </c>
      <c r="AD159" s="331">
        <f t="shared" si="80"/>
        <v>0</v>
      </c>
      <c r="AE159" s="331">
        <f t="shared" si="80"/>
        <v>0</v>
      </c>
      <c r="AF159" s="331">
        <f t="shared" si="80"/>
        <v>0</v>
      </c>
      <c r="AG159" s="331">
        <f t="shared" si="80"/>
        <v>0</v>
      </c>
      <c r="AH159" s="331">
        <f t="shared" si="80"/>
        <v>0</v>
      </c>
      <c r="AI159" s="331">
        <f t="shared" si="80"/>
        <v>0</v>
      </c>
      <c r="AJ159" s="331">
        <f t="shared" si="80"/>
        <v>0</v>
      </c>
      <c r="AK159" s="331">
        <f t="shared" si="80"/>
        <v>0</v>
      </c>
      <c r="AL159" s="331">
        <f t="shared" si="80"/>
        <v>0</v>
      </c>
      <c r="AM159" s="331">
        <f t="shared" si="80"/>
        <v>0</v>
      </c>
      <c r="AN159" s="331">
        <f t="shared" si="80"/>
        <v>0</v>
      </c>
      <c r="AO159" s="331">
        <f t="shared" si="80"/>
        <v>0</v>
      </c>
      <c r="AP159" s="331">
        <f t="shared" si="80"/>
        <v>0</v>
      </c>
      <c r="AQ159" s="331">
        <f t="shared" si="80"/>
        <v>0</v>
      </c>
      <c r="AR159" s="331">
        <f t="shared" si="80"/>
        <v>0</v>
      </c>
      <c r="AS159" s="331">
        <f t="shared" si="80"/>
        <v>0</v>
      </c>
      <c r="AT159" s="331">
        <f t="shared" si="80"/>
        <v>0</v>
      </c>
      <c r="AU159" s="331">
        <f t="shared" si="80"/>
        <v>0</v>
      </c>
      <c r="AV159" s="331">
        <f t="shared" si="80"/>
        <v>0</v>
      </c>
      <c r="AW159" s="331">
        <f t="shared" si="80"/>
        <v>0</v>
      </c>
      <c r="AX159" s="331">
        <f t="shared" si="80"/>
        <v>0</v>
      </c>
      <c r="AY159" s="331">
        <f t="shared" si="80"/>
        <v>0</v>
      </c>
      <c r="AZ159" s="331">
        <f t="shared" si="80"/>
        <v>0</v>
      </c>
      <c r="BA159" s="331">
        <f t="shared" si="80"/>
        <v>0</v>
      </c>
      <c r="BB159" s="331">
        <f aca="true" t="shared" si="81" ref="BB159:BM159">+($F223/$F$5)</f>
        <v>0</v>
      </c>
      <c r="BC159" s="331">
        <f t="shared" si="81"/>
        <v>0</v>
      </c>
      <c r="BD159" s="331">
        <f t="shared" si="81"/>
        <v>0</v>
      </c>
      <c r="BE159" s="331">
        <f t="shared" si="81"/>
        <v>0</v>
      </c>
      <c r="BF159" s="331">
        <f t="shared" si="81"/>
        <v>0</v>
      </c>
      <c r="BG159" s="331">
        <f t="shared" si="81"/>
        <v>0</v>
      </c>
      <c r="BH159" s="331">
        <f t="shared" si="81"/>
        <v>0</v>
      </c>
      <c r="BI159" s="331">
        <f t="shared" si="81"/>
        <v>0</v>
      </c>
      <c r="BJ159" s="331">
        <f t="shared" si="81"/>
        <v>0</v>
      </c>
      <c r="BK159" s="331">
        <f t="shared" si="81"/>
        <v>0</v>
      </c>
      <c r="BL159" s="331">
        <f t="shared" si="81"/>
        <v>0</v>
      </c>
      <c r="BM159" s="331">
        <f t="shared" si="81"/>
        <v>0</v>
      </c>
    </row>
    <row r="160" spans="5:65" ht="15.75">
      <c r="E160" s="416">
        <f t="shared" si="44"/>
        <v>43962</v>
      </c>
      <c r="F160" s="331"/>
      <c r="G160" s="331"/>
      <c r="H160" s="331"/>
      <c r="I160" s="331"/>
      <c r="J160" s="331"/>
      <c r="K160" s="331"/>
      <c r="L160" s="331"/>
      <c r="M160" s="331"/>
      <c r="N160" s="331"/>
      <c r="O160" s="331"/>
      <c r="P160" s="331"/>
      <c r="Q160" s="331"/>
      <c r="R160" s="331"/>
      <c r="S160" s="331"/>
      <c r="T160" s="331"/>
      <c r="U160" s="331"/>
      <c r="V160" s="331">
        <f aca="true" t="shared" si="82" ref="V160:BA160">+($F224/$F$5)</f>
        <v>0</v>
      </c>
      <c r="W160" s="331">
        <f t="shared" si="82"/>
        <v>0</v>
      </c>
      <c r="X160" s="331">
        <f t="shared" si="82"/>
        <v>0</v>
      </c>
      <c r="Y160" s="331">
        <f t="shared" si="82"/>
        <v>0</v>
      </c>
      <c r="Z160" s="331">
        <f t="shared" si="82"/>
        <v>0</v>
      </c>
      <c r="AA160" s="331">
        <f t="shared" si="82"/>
        <v>0</v>
      </c>
      <c r="AB160" s="331">
        <f t="shared" si="82"/>
        <v>0</v>
      </c>
      <c r="AC160" s="331">
        <f t="shared" si="82"/>
        <v>0</v>
      </c>
      <c r="AD160" s="331">
        <f t="shared" si="82"/>
        <v>0</v>
      </c>
      <c r="AE160" s="331">
        <f t="shared" si="82"/>
        <v>0</v>
      </c>
      <c r="AF160" s="331">
        <f t="shared" si="82"/>
        <v>0</v>
      </c>
      <c r="AG160" s="331">
        <f t="shared" si="82"/>
        <v>0</v>
      </c>
      <c r="AH160" s="331">
        <f t="shared" si="82"/>
        <v>0</v>
      </c>
      <c r="AI160" s="331">
        <f t="shared" si="82"/>
        <v>0</v>
      </c>
      <c r="AJ160" s="331">
        <f t="shared" si="82"/>
        <v>0</v>
      </c>
      <c r="AK160" s="331">
        <f t="shared" si="82"/>
        <v>0</v>
      </c>
      <c r="AL160" s="331">
        <f t="shared" si="82"/>
        <v>0</v>
      </c>
      <c r="AM160" s="331">
        <f t="shared" si="82"/>
        <v>0</v>
      </c>
      <c r="AN160" s="331">
        <f t="shared" si="82"/>
        <v>0</v>
      </c>
      <c r="AO160" s="331">
        <f t="shared" si="82"/>
        <v>0</v>
      </c>
      <c r="AP160" s="331">
        <f t="shared" si="82"/>
        <v>0</v>
      </c>
      <c r="AQ160" s="331">
        <f t="shared" si="82"/>
        <v>0</v>
      </c>
      <c r="AR160" s="331">
        <f t="shared" si="82"/>
        <v>0</v>
      </c>
      <c r="AS160" s="331">
        <f t="shared" si="82"/>
        <v>0</v>
      </c>
      <c r="AT160" s="331">
        <f t="shared" si="82"/>
        <v>0</v>
      </c>
      <c r="AU160" s="331">
        <f t="shared" si="82"/>
        <v>0</v>
      </c>
      <c r="AV160" s="331">
        <f t="shared" si="82"/>
        <v>0</v>
      </c>
      <c r="AW160" s="331">
        <f t="shared" si="82"/>
        <v>0</v>
      </c>
      <c r="AX160" s="331">
        <f t="shared" si="82"/>
        <v>0</v>
      </c>
      <c r="AY160" s="331">
        <f t="shared" si="82"/>
        <v>0</v>
      </c>
      <c r="AZ160" s="331">
        <f t="shared" si="82"/>
        <v>0</v>
      </c>
      <c r="BA160" s="331">
        <f t="shared" si="82"/>
        <v>0</v>
      </c>
      <c r="BB160" s="331">
        <f aca="true" t="shared" si="83" ref="BB160:BM160">+($F224/$F$5)</f>
        <v>0</v>
      </c>
      <c r="BC160" s="331">
        <f t="shared" si="83"/>
        <v>0</v>
      </c>
      <c r="BD160" s="331">
        <f t="shared" si="83"/>
        <v>0</v>
      </c>
      <c r="BE160" s="331">
        <f t="shared" si="83"/>
        <v>0</v>
      </c>
      <c r="BF160" s="331">
        <f t="shared" si="83"/>
        <v>0</v>
      </c>
      <c r="BG160" s="331">
        <f t="shared" si="83"/>
        <v>0</v>
      </c>
      <c r="BH160" s="331">
        <f t="shared" si="83"/>
        <v>0</v>
      </c>
      <c r="BI160" s="331">
        <f t="shared" si="83"/>
        <v>0</v>
      </c>
      <c r="BJ160" s="331">
        <f t="shared" si="83"/>
        <v>0</v>
      </c>
      <c r="BK160" s="331">
        <f t="shared" si="83"/>
        <v>0</v>
      </c>
      <c r="BL160" s="331">
        <f t="shared" si="83"/>
        <v>0</v>
      </c>
      <c r="BM160" s="331">
        <f t="shared" si="83"/>
        <v>0</v>
      </c>
    </row>
    <row r="161" spans="5:65" ht="15.75">
      <c r="E161" s="416">
        <f t="shared" si="44"/>
        <v>43993</v>
      </c>
      <c r="F161" s="331"/>
      <c r="G161" s="331"/>
      <c r="H161" s="331"/>
      <c r="I161" s="331"/>
      <c r="J161" s="331"/>
      <c r="K161" s="331"/>
      <c r="L161" s="331"/>
      <c r="M161" s="331"/>
      <c r="N161" s="331"/>
      <c r="O161" s="331"/>
      <c r="P161" s="331"/>
      <c r="Q161" s="331"/>
      <c r="R161" s="331"/>
      <c r="S161" s="331"/>
      <c r="T161" s="331"/>
      <c r="U161" s="331"/>
      <c r="V161" s="331"/>
      <c r="W161" s="331">
        <f aca="true" t="shared" si="84" ref="W161:BA161">+($F225/$F$5)</f>
        <v>0</v>
      </c>
      <c r="X161" s="331">
        <f t="shared" si="84"/>
        <v>0</v>
      </c>
      <c r="Y161" s="331">
        <f t="shared" si="84"/>
        <v>0</v>
      </c>
      <c r="Z161" s="331">
        <f t="shared" si="84"/>
        <v>0</v>
      </c>
      <c r="AA161" s="331">
        <f t="shared" si="84"/>
        <v>0</v>
      </c>
      <c r="AB161" s="331">
        <f t="shared" si="84"/>
        <v>0</v>
      </c>
      <c r="AC161" s="331">
        <f t="shared" si="84"/>
        <v>0</v>
      </c>
      <c r="AD161" s="331">
        <f t="shared" si="84"/>
        <v>0</v>
      </c>
      <c r="AE161" s="331">
        <f t="shared" si="84"/>
        <v>0</v>
      </c>
      <c r="AF161" s="331">
        <f t="shared" si="84"/>
        <v>0</v>
      </c>
      <c r="AG161" s="331">
        <f t="shared" si="84"/>
        <v>0</v>
      </c>
      <c r="AH161" s="331">
        <f t="shared" si="84"/>
        <v>0</v>
      </c>
      <c r="AI161" s="331">
        <f t="shared" si="84"/>
        <v>0</v>
      </c>
      <c r="AJ161" s="331">
        <f t="shared" si="84"/>
        <v>0</v>
      </c>
      <c r="AK161" s="331">
        <f t="shared" si="84"/>
        <v>0</v>
      </c>
      <c r="AL161" s="331">
        <f t="shared" si="84"/>
        <v>0</v>
      </c>
      <c r="AM161" s="331">
        <f t="shared" si="84"/>
        <v>0</v>
      </c>
      <c r="AN161" s="331">
        <f t="shared" si="84"/>
        <v>0</v>
      </c>
      <c r="AO161" s="331">
        <f t="shared" si="84"/>
        <v>0</v>
      </c>
      <c r="AP161" s="331">
        <f t="shared" si="84"/>
        <v>0</v>
      </c>
      <c r="AQ161" s="331">
        <f t="shared" si="84"/>
        <v>0</v>
      </c>
      <c r="AR161" s="331">
        <f t="shared" si="84"/>
        <v>0</v>
      </c>
      <c r="AS161" s="331">
        <f t="shared" si="84"/>
        <v>0</v>
      </c>
      <c r="AT161" s="331">
        <f t="shared" si="84"/>
        <v>0</v>
      </c>
      <c r="AU161" s="331">
        <f t="shared" si="84"/>
        <v>0</v>
      </c>
      <c r="AV161" s="331">
        <f t="shared" si="84"/>
        <v>0</v>
      </c>
      <c r="AW161" s="331">
        <f t="shared" si="84"/>
        <v>0</v>
      </c>
      <c r="AX161" s="331">
        <f t="shared" si="84"/>
        <v>0</v>
      </c>
      <c r="AY161" s="331">
        <f t="shared" si="84"/>
        <v>0</v>
      </c>
      <c r="AZ161" s="331">
        <f t="shared" si="84"/>
        <v>0</v>
      </c>
      <c r="BA161" s="331">
        <f t="shared" si="84"/>
        <v>0</v>
      </c>
      <c r="BB161" s="331">
        <f aca="true" t="shared" si="85" ref="BB161:BM161">+($F225/$F$5)</f>
        <v>0</v>
      </c>
      <c r="BC161" s="331">
        <f t="shared" si="85"/>
        <v>0</v>
      </c>
      <c r="BD161" s="331">
        <f t="shared" si="85"/>
        <v>0</v>
      </c>
      <c r="BE161" s="331">
        <f t="shared" si="85"/>
        <v>0</v>
      </c>
      <c r="BF161" s="331">
        <f t="shared" si="85"/>
        <v>0</v>
      </c>
      <c r="BG161" s="331">
        <f t="shared" si="85"/>
        <v>0</v>
      </c>
      <c r="BH161" s="331">
        <f t="shared" si="85"/>
        <v>0</v>
      </c>
      <c r="BI161" s="331">
        <f t="shared" si="85"/>
        <v>0</v>
      </c>
      <c r="BJ161" s="331">
        <f t="shared" si="85"/>
        <v>0</v>
      </c>
      <c r="BK161" s="331">
        <f t="shared" si="85"/>
        <v>0</v>
      </c>
      <c r="BL161" s="331">
        <f t="shared" si="85"/>
        <v>0</v>
      </c>
      <c r="BM161" s="331">
        <f t="shared" si="85"/>
        <v>0</v>
      </c>
    </row>
    <row r="162" spans="5:65" ht="15.75">
      <c r="E162" s="416">
        <f t="shared" si="44"/>
        <v>44024</v>
      </c>
      <c r="F162" s="331"/>
      <c r="G162" s="331"/>
      <c r="H162" s="331"/>
      <c r="I162" s="331"/>
      <c r="J162" s="331"/>
      <c r="K162" s="331"/>
      <c r="L162" s="331"/>
      <c r="M162" s="331"/>
      <c r="N162" s="331"/>
      <c r="O162" s="331"/>
      <c r="P162" s="331"/>
      <c r="Q162" s="331"/>
      <c r="R162" s="331"/>
      <c r="S162" s="331"/>
      <c r="T162" s="331"/>
      <c r="U162" s="331"/>
      <c r="V162" s="331"/>
      <c r="W162" s="331"/>
      <c r="X162" s="331">
        <f aca="true" t="shared" si="86" ref="X162:BA162">+($F226/$F$5)</f>
        <v>0</v>
      </c>
      <c r="Y162" s="331">
        <f t="shared" si="86"/>
        <v>0</v>
      </c>
      <c r="Z162" s="331">
        <f t="shared" si="86"/>
        <v>0</v>
      </c>
      <c r="AA162" s="331">
        <f t="shared" si="86"/>
        <v>0</v>
      </c>
      <c r="AB162" s="331">
        <f t="shared" si="86"/>
        <v>0</v>
      </c>
      <c r="AC162" s="331">
        <f t="shared" si="86"/>
        <v>0</v>
      </c>
      <c r="AD162" s="331">
        <f t="shared" si="86"/>
        <v>0</v>
      </c>
      <c r="AE162" s="331">
        <f t="shared" si="86"/>
        <v>0</v>
      </c>
      <c r="AF162" s="331">
        <f t="shared" si="86"/>
        <v>0</v>
      </c>
      <c r="AG162" s="331">
        <f t="shared" si="86"/>
        <v>0</v>
      </c>
      <c r="AH162" s="331">
        <f t="shared" si="86"/>
        <v>0</v>
      </c>
      <c r="AI162" s="331">
        <f t="shared" si="86"/>
        <v>0</v>
      </c>
      <c r="AJ162" s="331">
        <f t="shared" si="86"/>
        <v>0</v>
      </c>
      <c r="AK162" s="331">
        <f t="shared" si="86"/>
        <v>0</v>
      </c>
      <c r="AL162" s="331">
        <f t="shared" si="86"/>
        <v>0</v>
      </c>
      <c r="AM162" s="331">
        <f t="shared" si="86"/>
        <v>0</v>
      </c>
      <c r="AN162" s="331">
        <f t="shared" si="86"/>
        <v>0</v>
      </c>
      <c r="AO162" s="331">
        <f t="shared" si="86"/>
        <v>0</v>
      </c>
      <c r="AP162" s="331">
        <f t="shared" si="86"/>
        <v>0</v>
      </c>
      <c r="AQ162" s="331">
        <f t="shared" si="86"/>
        <v>0</v>
      </c>
      <c r="AR162" s="331">
        <f t="shared" si="86"/>
        <v>0</v>
      </c>
      <c r="AS162" s="331">
        <f t="shared" si="86"/>
        <v>0</v>
      </c>
      <c r="AT162" s="331">
        <f t="shared" si="86"/>
        <v>0</v>
      </c>
      <c r="AU162" s="331">
        <f t="shared" si="86"/>
        <v>0</v>
      </c>
      <c r="AV162" s="331">
        <f t="shared" si="86"/>
        <v>0</v>
      </c>
      <c r="AW162" s="331">
        <f t="shared" si="86"/>
        <v>0</v>
      </c>
      <c r="AX162" s="331">
        <f t="shared" si="86"/>
        <v>0</v>
      </c>
      <c r="AY162" s="331">
        <f t="shared" si="86"/>
        <v>0</v>
      </c>
      <c r="AZ162" s="331">
        <f t="shared" si="86"/>
        <v>0</v>
      </c>
      <c r="BA162" s="331">
        <f t="shared" si="86"/>
        <v>0</v>
      </c>
      <c r="BB162" s="331">
        <f aca="true" t="shared" si="87" ref="BB162:BM162">+($F226/$F$5)</f>
        <v>0</v>
      </c>
      <c r="BC162" s="331">
        <f t="shared" si="87"/>
        <v>0</v>
      </c>
      <c r="BD162" s="331">
        <f t="shared" si="87"/>
        <v>0</v>
      </c>
      <c r="BE162" s="331">
        <f t="shared" si="87"/>
        <v>0</v>
      </c>
      <c r="BF162" s="331">
        <f t="shared" si="87"/>
        <v>0</v>
      </c>
      <c r="BG162" s="331">
        <f t="shared" si="87"/>
        <v>0</v>
      </c>
      <c r="BH162" s="331">
        <f t="shared" si="87"/>
        <v>0</v>
      </c>
      <c r="BI162" s="331">
        <f t="shared" si="87"/>
        <v>0</v>
      </c>
      <c r="BJ162" s="331">
        <f t="shared" si="87"/>
        <v>0</v>
      </c>
      <c r="BK162" s="331">
        <f t="shared" si="87"/>
        <v>0</v>
      </c>
      <c r="BL162" s="331">
        <f t="shared" si="87"/>
        <v>0</v>
      </c>
      <c r="BM162" s="331">
        <f t="shared" si="87"/>
        <v>0</v>
      </c>
    </row>
    <row r="163" spans="5:65" ht="15.75">
      <c r="E163" s="416">
        <f t="shared" si="44"/>
        <v>44055</v>
      </c>
      <c r="F163" s="331"/>
      <c r="G163" s="331"/>
      <c r="H163" s="331"/>
      <c r="I163" s="331"/>
      <c r="J163" s="331"/>
      <c r="K163" s="331"/>
      <c r="L163" s="331"/>
      <c r="M163" s="331"/>
      <c r="N163" s="331"/>
      <c r="O163" s="331"/>
      <c r="P163" s="331"/>
      <c r="Q163" s="331"/>
      <c r="R163" s="331"/>
      <c r="S163" s="331"/>
      <c r="T163" s="331"/>
      <c r="U163" s="331"/>
      <c r="V163" s="331"/>
      <c r="W163" s="331"/>
      <c r="X163" s="331"/>
      <c r="Y163" s="331">
        <f aca="true" t="shared" si="88" ref="Y163:BA163">+($F227/$F$5)</f>
        <v>0</v>
      </c>
      <c r="Z163" s="331">
        <f t="shared" si="88"/>
        <v>0</v>
      </c>
      <c r="AA163" s="331">
        <f t="shared" si="88"/>
        <v>0</v>
      </c>
      <c r="AB163" s="331">
        <f t="shared" si="88"/>
        <v>0</v>
      </c>
      <c r="AC163" s="331">
        <f t="shared" si="88"/>
        <v>0</v>
      </c>
      <c r="AD163" s="331">
        <f t="shared" si="88"/>
        <v>0</v>
      </c>
      <c r="AE163" s="331">
        <f t="shared" si="88"/>
        <v>0</v>
      </c>
      <c r="AF163" s="331">
        <f t="shared" si="88"/>
        <v>0</v>
      </c>
      <c r="AG163" s="331">
        <f t="shared" si="88"/>
        <v>0</v>
      </c>
      <c r="AH163" s="331">
        <f t="shared" si="88"/>
        <v>0</v>
      </c>
      <c r="AI163" s="331">
        <f t="shared" si="88"/>
        <v>0</v>
      </c>
      <c r="AJ163" s="331">
        <f t="shared" si="88"/>
        <v>0</v>
      </c>
      <c r="AK163" s="331">
        <f t="shared" si="88"/>
        <v>0</v>
      </c>
      <c r="AL163" s="331">
        <f t="shared" si="88"/>
        <v>0</v>
      </c>
      <c r="AM163" s="331">
        <f t="shared" si="88"/>
        <v>0</v>
      </c>
      <c r="AN163" s="331">
        <f t="shared" si="88"/>
        <v>0</v>
      </c>
      <c r="AO163" s="331">
        <f t="shared" si="88"/>
        <v>0</v>
      </c>
      <c r="AP163" s="331">
        <f t="shared" si="88"/>
        <v>0</v>
      </c>
      <c r="AQ163" s="331">
        <f t="shared" si="88"/>
        <v>0</v>
      </c>
      <c r="AR163" s="331">
        <f t="shared" si="88"/>
        <v>0</v>
      </c>
      <c r="AS163" s="331">
        <f t="shared" si="88"/>
        <v>0</v>
      </c>
      <c r="AT163" s="331">
        <f t="shared" si="88"/>
        <v>0</v>
      </c>
      <c r="AU163" s="331">
        <f t="shared" si="88"/>
        <v>0</v>
      </c>
      <c r="AV163" s="331">
        <f t="shared" si="88"/>
        <v>0</v>
      </c>
      <c r="AW163" s="331">
        <f t="shared" si="88"/>
        <v>0</v>
      </c>
      <c r="AX163" s="331">
        <f t="shared" si="88"/>
        <v>0</v>
      </c>
      <c r="AY163" s="331">
        <f t="shared" si="88"/>
        <v>0</v>
      </c>
      <c r="AZ163" s="331">
        <f t="shared" si="88"/>
        <v>0</v>
      </c>
      <c r="BA163" s="331">
        <f t="shared" si="88"/>
        <v>0</v>
      </c>
      <c r="BB163" s="331">
        <f aca="true" t="shared" si="89" ref="BB163:BM163">+($F227/$F$5)</f>
        <v>0</v>
      </c>
      <c r="BC163" s="331">
        <f t="shared" si="89"/>
        <v>0</v>
      </c>
      <c r="BD163" s="331">
        <f t="shared" si="89"/>
        <v>0</v>
      </c>
      <c r="BE163" s="331">
        <f t="shared" si="89"/>
        <v>0</v>
      </c>
      <c r="BF163" s="331">
        <f t="shared" si="89"/>
        <v>0</v>
      </c>
      <c r="BG163" s="331">
        <f t="shared" si="89"/>
        <v>0</v>
      </c>
      <c r="BH163" s="331">
        <f t="shared" si="89"/>
        <v>0</v>
      </c>
      <c r="BI163" s="331">
        <f t="shared" si="89"/>
        <v>0</v>
      </c>
      <c r="BJ163" s="331">
        <f t="shared" si="89"/>
        <v>0</v>
      </c>
      <c r="BK163" s="331">
        <f t="shared" si="89"/>
        <v>0</v>
      </c>
      <c r="BL163" s="331">
        <f t="shared" si="89"/>
        <v>0</v>
      </c>
      <c r="BM163" s="331">
        <f t="shared" si="89"/>
        <v>0</v>
      </c>
    </row>
    <row r="164" spans="5:65" ht="15.75">
      <c r="E164" s="416">
        <f t="shared" si="44"/>
        <v>44086</v>
      </c>
      <c r="F164" s="331"/>
      <c r="G164" s="331"/>
      <c r="H164" s="331"/>
      <c r="I164" s="331"/>
      <c r="J164" s="331"/>
      <c r="K164" s="331"/>
      <c r="L164" s="331"/>
      <c r="M164" s="331"/>
      <c r="N164" s="331"/>
      <c r="O164" s="331"/>
      <c r="P164" s="331"/>
      <c r="Q164" s="331"/>
      <c r="R164" s="331"/>
      <c r="S164" s="331"/>
      <c r="T164" s="331"/>
      <c r="U164" s="331"/>
      <c r="V164" s="331"/>
      <c r="W164" s="331"/>
      <c r="X164" s="331"/>
      <c r="Y164" s="331"/>
      <c r="Z164" s="331">
        <f aca="true" t="shared" si="90" ref="Z164:BA164">+($F228/$F$5)</f>
        <v>0</v>
      </c>
      <c r="AA164" s="331">
        <f t="shared" si="90"/>
        <v>0</v>
      </c>
      <c r="AB164" s="331">
        <f t="shared" si="90"/>
        <v>0</v>
      </c>
      <c r="AC164" s="331">
        <f t="shared" si="90"/>
        <v>0</v>
      </c>
      <c r="AD164" s="331">
        <f t="shared" si="90"/>
        <v>0</v>
      </c>
      <c r="AE164" s="331">
        <f t="shared" si="90"/>
        <v>0</v>
      </c>
      <c r="AF164" s="331">
        <f t="shared" si="90"/>
        <v>0</v>
      </c>
      <c r="AG164" s="331">
        <f t="shared" si="90"/>
        <v>0</v>
      </c>
      <c r="AH164" s="331">
        <f t="shared" si="90"/>
        <v>0</v>
      </c>
      <c r="AI164" s="331">
        <f t="shared" si="90"/>
        <v>0</v>
      </c>
      <c r="AJ164" s="331">
        <f t="shared" si="90"/>
        <v>0</v>
      </c>
      <c r="AK164" s="331">
        <f t="shared" si="90"/>
        <v>0</v>
      </c>
      <c r="AL164" s="331">
        <f t="shared" si="90"/>
        <v>0</v>
      </c>
      <c r="AM164" s="331">
        <f t="shared" si="90"/>
        <v>0</v>
      </c>
      <c r="AN164" s="331">
        <f t="shared" si="90"/>
        <v>0</v>
      </c>
      <c r="AO164" s="331">
        <f t="shared" si="90"/>
        <v>0</v>
      </c>
      <c r="AP164" s="331">
        <f t="shared" si="90"/>
        <v>0</v>
      </c>
      <c r="AQ164" s="331">
        <f t="shared" si="90"/>
        <v>0</v>
      </c>
      <c r="AR164" s="331">
        <f t="shared" si="90"/>
        <v>0</v>
      </c>
      <c r="AS164" s="331">
        <f t="shared" si="90"/>
        <v>0</v>
      </c>
      <c r="AT164" s="331">
        <f t="shared" si="90"/>
        <v>0</v>
      </c>
      <c r="AU164" s="331">
        <f t="shared" si="90"/>
        <v>0</v>
      </c>
      <c r="AV164" s="331">
        <f t="shared" si="90"/>
        <v>0</v>
      </c>
      <c r="AW164" s="331">
        <f t="shared" si="90"/>
        <v>0</v>
      </c>
      <c r="AX164" s="331">
        <f t="shared" si="90"/>
        <v>0</v>
      </c>
      <c r="AY164" s="331">
        <f t="shared" si="90"/>
        <v>0</v>
      </c>
      <c r="AZ164" s="331">
        <f t="shared" si="90"/>
        <v>0</v>
      </c>
      <c r="BA164" s="331">
        <f t="shared" si="90"/>
        <v>0</v>
      </c>
      <c r="BB164" s="331">
        <f aca="true" t="shared" si="91" ref="BB164:BM164">+($F228/$F$5)</f>
        <v>0</v>
      </c>
      <c r="BC164" s="331">
        <f t="shared" si="91"/>
        <v>0</v>
      </c>
      <c r="BD164" s="331">
        <f t="shared" si="91"/>
        <v>0</v>
      </c>
      <c r="BE164" s="331">
        <f t="shared" si="91"/>
        <v>0</v>
      </c>
      <c r="BF164" s="331">
        <f t="shared" si="91"/>
        <v>0</v>
      </c>
      <c r="BG164" s="331">
        <f t="shared" si="91"/>
        <v>0</v>
      </c>
      <c r="BH164" s="331">
        <f t="shared" si="91"/>
        <v>0</v>
      </c>
      <c r="BI164" s="331">
        <f t="shared" si="91"/>
        <v>0</v>
      </c>
      <c r="BJ164" s="331">
        <f t="shared" si="91"/>
        <v>0</v>
      </c>
      <c r="BK164" s="331">
        <f t="shared" si="91"/>
        <v>0</v>
      </c>
      <c r="BL164" s="331">
        <f t="shared" si="91"/>
        <v>0</v>
      </c>
      <c r="BM164" s="331">
        <f t="shared" si="91"/>
        <v>0</v>
      </c>
    </row>
    <row r="165" spans="5:65" ht="15.75">
      <c r="E165" s="416">
        <f t="shared" si="44"/>
        <v>44117</v>
      </c>
      <c r="F165" s="331"/>
      <c r="G165" s="331"/>
      <c r="H165" s="331"/>
      <c r="I165" s="331"/>
      <c r="J165" s="331"/>
      <c r="K165" s="331"/>
      <c r="L165" s="331"/>
      <c r="M165" s="331"/>
      <c r="N165" s="331"/>
      <c r="O165" s="331"/>
      <c r="P165" s="331"/>
      <c r="Q165" s="331"/>
      <c r="R165" s="331"/>
      <c r="S165" s="331"/>
      <c r="T165" s="331"/>
      <c r="U165" s="331"/>
      <c r="V165" s="331"/>
      <c r="W165" s="331"/>
      <c r="X165" s="331"/>
      <c r="Y165" s="331"/>
      <c r="Z165" s="331"/>
      <c r="AA165" s="331">
        <f aca="true" t="shared" si="92" ref="AA165:BA165">+($F229/$F$5)</f>
        <v>0</v>
      </c>
      <c r="AB165" s="331">
        <f t="shared" si="92"/>
        <v>0</v>
      </c>
      <c r="AC165" s="331">
        <f t="shared" si="92"/>
        <v>0</v>
      </c>
      <c r="AD165" s="331">
        <f t="shared" si="92"/>
        <v>0</v>
      </c>
      <c r="AE165" s="331">
        <f t="shared" si="92"/>
        <v>0</v>
      </c>
      <c r="AF165" s="331">
        <f t="shared" si="92"/>
        <v>0</v>
      </c>
      <c r="AG165" s="331">
        <f t="shared" si="92"/>
        <v>0</v>
      </c>
      <c r="AH165" s="331">
        <f t="shared" si="92"/>
        <v>0</v>
      </c>
      <c r="AI165" s="331">
        <f t="shared" si="92"/>
        <v>0</v>
      </c>
      <c r="AJ165" s="331">
        <f t="shared" si="92"/>
        <v>0</v>
      </c>
      <c r="AK165" s="331">
        <f t="shared" si="92"/>
        <v>0</v>
      </c>
      <c r="AL165" s="331">
        <f t="shared" si="92"/>
        <v>0</v>
      </c>
      <c r="AM165" s="331">
        <f t="shared" si="92"/>
        <v>0</v>
      </c>
      <c r="AN165" s="331">
        <f t="shared" si="92"/>
        <v>0</v>
      </c>
      <c r="AO165" s="331">
        <f t="shared" si="92"/>
        <v>0</v>
      </c>
      <c r="AP165" s="331">
        <f t="shared" si="92"/>
        <v>0</v>
      </c>
      <c r="AQ165" s="331">
        <f t="shared" si="92"/>
        <v>0</v>
      </c>
      <c r="AR165" s="331">
        <f t="shared" si="92"/>
        <v>0</v>
      </c>
      <c r="AS165" s="331">
        <f t="shared" si="92"/>
        <v>0</v>
      </c>
      <c r="AT165" s="331">
        <f t="shared" si="92"/>
        <v>0</v>
      </c>
      <c r="AU165" s="331">
        <f t="shared" si="92"/>
        <v>0</v>
      </c>
      <c r="AV165" s="331">
        <f t="shared" si="92"/>
        <v>0</v>
      </c>
      <c r="AW165" s="331">
        <f t="shared" si="92"/>
        <v>0</v>
      </c>
      <c r="AX165" s="331">
        <f t="shared" si="92"/>
        <v>0</v>
      </c>
      <c r="AY165" s="331">
        <f t="shared" si="92"/>
        <v>0</v>
      </c>
      <c r="AZ165" s="331">
        <f t="shared" si="92"/>
        <v>0</v>
      </c>
      <c r="BA165" s="331">
        <f t="shared" si="92"/>
        <v>0</v>
      </c>
      <c r="BB165" s="331">
        <f aca="true" t="shared" si="93" ref="BB165:BM165">+($F229/$F$5)</f>
        <v>0</v>
      </c>
      <c r="BC165" s="331">
        <f t="shared" si="93"/>
        <v>0</v>
      </c>
      <c r="BD165" s="331">
        <f t="shared" si="93"/>
        <v>0</v>
      </c>
      <c r="BE165" s="331">
        <f t="shared" si="93"/>
        <v>0</v>
      </c>
      <c r="BF165" s="331">
        <f t="shared" si="93"/>
        <v>0</v>
      </c>
      <c r="BG165" s="331">
        <f t="shared" si="93"/>
        <v>0</v>
      </c>
      <c r="BH165" s="331">
        <f t="shared" si="93"/>
        <v>0</v>
      </c>
      <c r="BI165" s="331">
        <f t="shared" si="93"/>
        <v>0</v>
      </c>
      <c r="BJ165" s="331">
        <f t="shared" si="93"/>
        <v>0</v>
      </c>
      <c r="BK165" s="331">
        <f t="shared" si="93"/>
        <v>0</v>
      </c>
      <c r="BL165" s="331">
        <f t="shared" si="93"/>
        <v>0</v>
      </c>
      <c r="BM165" s="331">
        <f t="shared" si="93"/>
        <v>0</v>
      </c>
    </row>
    <row r="166" spans="5:65" ht="15.75">
      <c r="E166" s="416">
        <f t="shared" si="44"/>
        <v>44148</v>
      </c>
      <c r="F166" s="331"/>
      <c r="G166" s="331"/>
      <c r="H166" s="331"/>
      <c r="I166" s="331"/>
      <c r="J166" s="331"/>
      <c r="K166" s="331"/>
      <c r="L166" s="331"/>
      <c r="M166" s="331"/>
      <c r="N166" s="331"/>
      <c r="O166" s="331"/>
      <c r="P166" s="331"/>
      <c r="Q166" s="331"/>
      <c r="R166" s="331"/>
      <c r="S166" s="331"/>
      <c r="T166" s="331"/>
      <c r="U166" s="331"/>
      <c r="V166" s="331"/>
      <c r="W166" s="331"/>
      <c r="X166" s="331"/>
      <c r="Y166" s="331"/>
      <c r="Z166" s="331"/>
      <c r="AA166" s="331"/>
      <c r="AB166" s="331">
        <f aca="true" t="shared" si="94" ref="AB166:BA166">+($F230/$F$5)</f>
        <v>0</v>
      </c>
      <c r="AC166" s="331">
        <f t="shared" si="94"/>
        <v>0</v>
      </c>
      <c r="AD166" s="331">
        <f t="shared" si="94"/>
        <v>0</v>
      </c>
      <c r="AE166" s="331">
        <f t="shared" si="94"/>
        <v>0</v>
      </c>
      <c r="AF166" s="331">
        <f t="shared" si="94"/>
        <v>0</v>
      </c>
      <c r="AG166" s="331">
        <f t="shared" si="94"/>
        <v>0</v>
      </c>
      <c r="AH166" s="331">
        <f t="shared" si="94"/>
        <v>0</v>
      </c>
      <c r="AI166" s="331">
        <f t="shared" si="94"/>
        <v>0</v>
      </c>
      <c r="AJ166" s="331">
        <f t="shared" si="94"/>
        <v>0</v>
      </c>
      <c r="AK166" s="331">
        <f t="shared" si="94"/>
        <v>0</v>
      </c>
      <c r="AL166" s="331">
        <f t="shared" si="94"/>
        <v>0</v>
      </c>
      <c r="AM166" s="331">
        <f t="shared" si="94"/>
        <v>0</v>
      </c>
      <c r="AN166" s="331">
        <f t="shared" si="94"/>
        <v>0</v>
      </c>
      <c r="AO166" s="331">
        <f t="shared" si="94"/>
        <v>0</v>
      </c>
      <c r="AP166" s="331">
        <f t="shared" si="94"/>
        <v>0</v>
      </c>
      <c r="AQ166" s="331">
        <f t="shared" si="94"/>
        <v>0</v>
      </c>
      <c r="AR166" s="331">
        <f t="shared" si="94"/>
        <v>0</v>
      </c>
      <c r="AS166" s="331">
        <f t="shared" si="94"/>
        <v>0</v>
      </c>
      <c r="AT166" s="331">
        <f t="shared" si="94"/>
        <v>0</v>
      </c>
      <c r="AU166" s="331">
        <f t="shared" si="94"/>
        <v>0</v>
      </c>
      <c r="AV166" s="331">
        <f t="shared" si="94"/>
        <v>0</v>
      </c>
      <c r="AW166" s="331">
        <f t="shared" si="94"/>
        <v>0</v>
      </c>
      <c r="AX166" s="331">
        <f t="shared" si="94"/>
        <v>0</v>
      </c>
      <c r="AY166" s="331">
        <f t="shared" si="94"/>
        <v>0</v>
      </c>
      <c r="AZ166" s="331">
        <f t="shared" si="94"/>
        <v>0</v>
      </c>
      <c r="BA166" s="331">
        <f t="shared" si="94"/>
        <v>0</v>
      </c>
      <c r="BB166" s="331">
        <f aca="true" t="shared" si="95" ref="BB166:BM166">+($F230/$F$5)</f>
        <v>0</v>
      </c>
      <c r="BC166" s="331">
        <f t="shared" si="95"/>
        <v>0</v>
      </c>
      <c r="BD166" s="331">
        <f t="shared" si="95"/>
        <v>0</v>
      </c>
      <c r="BE166" s="331">
        <f t="shared" si="95"/>
        <v>0</v>
      </c>
      <c r="BF166" s="331">
        <f t="shared" si="95"/>
        <v>0</v>
      </c>
      <c r="BG166" s="331">
        <f t="shared" si="95"/>
        <v>0</v>
      </c>
      <c r="BH166" s="331">
        <f t="shared" si="95"/>
        <v>0</v>
      </c>
      <c r="BI166" s="331">
        <f t="shared" si="95"/>
        <v>0</v>
      </c>
      <c r="BJ166" s="331">
        <f t="shared" si="95"/>
        <v>0</v>
      </c>
      <c r="BK166" s="331">
        <f t="shared" si="95"/>
        <v>0</v>
      </c>
      <c r="BL166" s="331">
        <f t="shared" si="95"/>
        <v>0</v>
      </c>
      <c r="BM166" s="331">
        <f t="shared" si="95"/>
        <v>0</v>
      </c>
    </row>
    <row r="167" spans="5:65" ht="15.75">
      <c r="E167" s="416">
        <f t="shared" si="44"/>
        <v>44179</v>
      </c>
      <c r="F167" s="331"/>
      <c r="G167" s="331"/>
      <c r="H167" s="331"/>
      <c r="I167" s="331"/>
      <c r="J167" s="331"/>
      <c r="K167" s="331"/>
      <c r="L167" s="331"/>
      <c r="M167" s="331"/>
      <c r="N167" s="331"/>
      <c r="O167" s="331"/>
      <c r="P167" s="331"/>
      <c r="Q167" s="331"/>
      <c r="R167" s="331"/>
      <c r="S167" s="331"/>
      <c r="T167" s="331"/>
      <c r="U167" s="331"/>
      <c r="V167" s="331"/>
      <c r="W167" s="331"/>
      <c r="X167" s="331"/>
      <c r="Y167" s="331"/>
      <c r="Z167" s="331"/>
      <c r="AA167" s="331"/>
      <c r="AB167" s="331"/>
      <c r="AC167" s="331">
        <f aca="true" t="shared" si="96" ref="AC167:BA167">+($F231/$F$5)</f>
        <v>0</v>
      </c>
      <c r="AD167" s="331">
        <f t="shared" si="96"/>
        <v>0</v>
      </c>
      <c r="AE167" s="331">
        <f t="shared" si="96"/>
        <v>0</v>
      </c>
      <c r="AF167" s="331">
        <f t="shared" si="96"/>
        <v>0</v>
      </c>
      <c r="AG167" s="331">
        <f t="shared" si="96"/>
        <v>0</v>
      </c>
      <c r="AH167" s="331">
        <f t="shared" si="96"/>
        <v>0</v>
      </c>
      <c r="AI167" s="331">
        <f t="shared" si="96"/>
        <v>0</v>
      </c>
      <c r="AJ167" s="331">
        <f t="shared" si="96"/>
        <v>0</v>
      </c>
      <c r="AK167" s="331">
        <f t="shared" si="96"/>
        <v>0</v>
      </c>
      <c r="AL167" s="331">
        <f t="shared" si="96"/>
        <v>0</v>
      </c>
      <c r="AM167" s="331">
        <f t="shared" si="96"/>
        <v>0</v>
      </c>
      <c r="AN167" s="331">
        <f t="shared" si="96"/>
        <v>0</v>
      </c>
      <c r="AO167" s="331">
        <f t="shared" si="96"/>
        <v>0</v>
      </c>
      <c r="AP167" s="331">
        <f t="shared" si="96"/>
        <v>0</v>
      </c>
      <c r="AQ167" s="331">
        <f t="shared" si="96"/>
        <v>0</v>
      </c>
      <c r="AR167" s="331">
        <f t="shared" si="96"/>
        <v>0</v>
      </c>
      <c r="AS167" s="331">
        <f t="shared" si="96"/>
        <v>0</v>
      </c>
      <c r="AT167" s="331">
        <f t="shared" si="96"/>
        <v>0</v>
      </c>
      <c r="AU167" s="331">
        <f t="shared" si="96"/>
        <v>0</v>
      </c>
      <c r="AV167" s="331">
        <f t="shared" si="96"/>
        <v>0</v>
      </c>
      <c r="AW167" s="331">
        <f t="shared" si="96"/>
        <v>0</v>
      </c>
      <c r="AX167" s="331">
        <f t="shared" si="96"/>
        <v>0</v>
      </c>
      <c r="AY167" s="331">
        <f t="shared" si="96"/>
        <v>0</v>
      </c>
      <c r="AZ167" s="331">
        <f t="shared" si="96"/>
        <v>0</v>
      </c>
      <c r="BA167" s="331">
        <f t="shared" si="96"/>
        <v>0</v>
      </c>
      <c r="BB167" s="331">
        <f aca="true" t="shared" si="97" ref="BB167:BM167">+($F231/$F$5)</f>
        <v>0</v>
      </c>
      <c r="BC167" s="331">
        <f t="shared" si="97"/>
        <v>0</v>
      </c>
      <c r="BD167" s="331">
        <f t="shared" si="97"/>
        <v>0</v>
      </c>
      <c r="BE167" s="331">
        <f t="shared" si="97"/>
        <v>0</v>
      </c>
      <c r="BF167" s="331">
        <f t="shared" si="97"/>
        <v>0</v>
      </c>
      <c r="BG167" s="331">
        <f t="shared" si="97"/>
        <v>0</v>
      </c>
      <c r="BH167" s="331">
        <f t="shared" si="97"/>
        <v>0</v>
      </c>
      <c r="BI167" s="331">
        <f t="shared" si="97"/>
        <v>0</v>
      </c>
      <c r="BJ167" s="331">
        <f t="shared" si="97"/>
        <v>0</v>
      </c>
      <c r="BK167" s="331">
        <f t="shared" si="97"/>
        <v>0</v>
      </c>
      <c r="BL167" s="331">
        <f t="shared" si="97"/>
        <v>0</v>
      </c>
      <c r="BM167" s="331">
        <f t="shared" si="97"/>
        <v>0</v>
      </c>
    </row>
    <row r="168" spans="5:65" ht="15.75">
      <c r="E168" s="416">
        <f t="shared" si="44"/>
        <v>44210</v>
      </c>
      <c r="F168" s="331"/>
      <c r="K168" s="331"/>
      <c r="M168" s="331"/>
      <c r="Y168" s="331"/>
      <c r="Z168" s="331"/>
      <c r="AA168" s="331"/>
      <c r="AB168" s="331"/>
      <c r="AC168" s="331"/>
      <c r="AD168" s="331">
        <f aca="true" t="shared" si="98" ref="AD168:AR168">+($F232/$F$5)</f>
        <v>0</v>
      </c>
      <c r="AE168" s="331">
        <f t="shared" si="98"/>
        <v>0</v>
      </c>
      <c r="AF168" s="331">
        <f t="shared" si="98"/>
        <v>0</v>
      </c>
      <c r="AG168" s="331">
        <f t="shared" si="98"/>
        <v>0</v>
      </c>
      <c r="AH168" s="331">
        <f t="shared" si="98"/>
        <v>0</v>
      </c>
      <c r="AI168" s="331">
        <f t="shared" si="98"/>
        <v>0</v>
      </c>
      <c r="AJ168" s="331">
        <f t="shared" si="98"/>
        <v>0</v>
      </c>
      <c r="AK168" s="331">
        <f t="shared" si="98"/>
        <v>0</v>
      </c>
      <c r="AL168" s="331">
        <f t="shared" si="98"/>
        <v>0</v>
      </c>
      <c r="AM168" s="331">
        <f t="shared" si="98"/>
        <v>0</v>
      </c>
      <c r="AN168" s="331">
        <f t="shared" si="98"/>
        <v>0</v>
      </c>
      <c r="AO168" s="331">
        <f t="shared" si="98"/>
        <v>0</v>
      </c>
      <c r="AP168" s="331">
        <f t="shared" si="98"/>
        <v>0</v>
      </c>
      <c r="AQ168" s="331">
        <f t="shared" si="98"/>
        <v>0</v>
      </c>
      <c r="AR168" s="331">
        <f t="shared" si="98"/>
        <v>0</v>
      </c>
      <c r="AS168" s="331">
        <f aca="true" t="shared" si="99" ref="AS168:BA168">+($F232/$F$5)</f>
        <v>0</v>
      </c>
      <c r="AT168" s="331">
        <f t="shared" si="99"/>
        <v>0</v>
      </c>
      <c r="AU168" s="331">
        <f t="shared" si="99"/>
        <v>0</v>
      </c>
      <c r="AV168" s="331">
        <f t="shared" si="99"/>
        <v>0</v>
      </c>
      <c r="AW168" s="331">
        <f t="shared" si="99"/>
        <v>0</v>
      </c>
      <c r="AX168" s="331">
        <f t="shared" si="99"/>
        <v>0</v>
      </c>
      <c r="AY168" s="331">
        <f t="shared" si="99"/>
        <v>0</v>
      </c>
      <c r="AZ168" s="331">
        <f t="shared" si="99"/>
        <v>0</v>
      </c>
      <c r="BA168" s="331">
        <f t="shared" si="99"/>
        <v>0</v>
      </c>
      <c r="BB168" s="331">
        <f aca="true" t="shared" si="100" ref="BB168:BM168">+($F232/$F$5)</f>
        <v>0</v>
      </c>
      <c r="BC168" s="331">
        <f t="shared" si="100"/>
        <v>0</v>
      </c>
      <c r="BD168" s="331">
        <f t="shared" si="100"/>
        <v>0</v>
      </c>
      <c r="BE168" s="331">
        <f t="shared" si="100"/>
        <v>0</v>
      </c>
      <c r="BF168" s="331">
        <f t="shared" si="100"/>
        <v>0</v>
      </c>
      <c r="BG168" s="331">
        <f t="shared" si="100"/>
        <v>0</v>
      </c>
      <c r="BH168" s="331">
        <f t="shared" si="100"/>
        <v>0</v>
      </c>
      <c r="BI168" s="331">
        <f t="shared" si="100"/>
        <v>0</v>
      </c>
      <c r="BJ168" s="331">
        <f t="shared" si="100"/>
        <v>0</v>
      </c>
      <c r="BK168" s="331">
        <f t="shared" si="100"/>
        <v>0</v>
      </c>
      <c r="BL168" s="331">
        <f t="shared" si="100"/>
        <v>0</v>
      </c>
      <c r="BM168" s="331">
        <f t="shared" si="100"/>
        <v>0</v>
      </c>
    </row>
    <row r="169" spans="5:65" ht="15.75">
      <c r="E169" s="416">
        <f t="shared" si="44"/>
        <v>44241</v>
      </c>
      <c r="F169" s="331"/>
      <c r="K169" s="331"/>
      <c r="M169" s="331"/>
      <c r="Y169" s="331"/>
      <c r="Z169" s="331"/>
      <c r="AA169" s="331"/>
      <c r="AB169" s="331"/>
      <c r="AC169" s="331"/>
      <c r="AD169" s="331"/>
      <c r="AE169" s="331">
        <f aca="true" t="shared" si="101" ref="AE169:AR169">+($F233/$F$5)</f>
        <v>0</v>
      </c>
      <c r="AF169" s="331">
        <f t="shared" si="101"/>
        <v>0</v>
      </c>
      <c r="AG169" s="331">
        <f t="shared" si="101"/>
        <v>0</v>
      </c>
      <c r="AH169" s="331">
        <f t="shared" si="101"/>
        <v>0</v>
      </c>
      <c r="AI169" s="331">
        <f t="shared" si="101"/>
        <v>0</v>
      </c>
      <c r="AJ169" s="331">
        <f t="shared" si="101"/>
        <v>0</v>
      </c>
      <c r="AK169" s="331">
        <f t="shared" si="101"/>
        <v>0</v>
      </c>
      <c r="AL169" s="331">
        <f t="shared" si="101"/>
        <v>0</v>
      </c>
      <c r="AM169" s="331">
        <f t="shared" si="101"/>
        <v>0</v>
      </c>
      <c r="AN169" s="331">
        <f t="shared" si="101"/>
        <v>0</v>
      </c>
      <c r="AO169" s="331">
        <f t="shared" si="101"/>
        <v>0</v>
      </c>
      <c r="AP169" s="331">
        <f t="shared" si="101"/>
        <v>0</v>
      </c>
      <c r="AQ169" s="331">
        <f t="shared" si="101"/>
        <v>0</v>
      </c>
      <c r="AR169" s="331">
        <f t="shared" si="101"/>
        <v>0</v>
      </c>
      <c r="AS169" s="331">
        <f aca="true" t="shared" si="102" ref="AS169:BA169">+($F233/$F$5)</f>
        <v>0</v>
      </c>
      <c r="AT169" s="331">
        <f t="shared" si="102"/>
        <v>0</v>
      </c>
      <c r="AU169" s="331">
        <f t="shared" si="102"/>
        <v>0</v>
      </c>
      <c r="AV169" s="331">
        <f t="shared" si="102"/>
        <v>0</v>
      </c>
      <c r="AW169" s="331">
        <f t="shared" si="102"/>
        <v>0</v>
      </c>
      <c r="AX169" s="331">
        <f t="shared" si="102"/>
        <v>0</v>
      </c>
      <c r="AY169" s="331">
        <f t="shared" si="102"/>
        <v>0</v>
      </c>
      <c r="AZ169" s="331">
        <f t="shared" si="102"/>
        <v>0</v>
      </c>
      <c r="BA169" s="331">
        <f t="shared" si="102"/>
        <v>0</v>
      </c>
      <c r="BB169" s="331">
        <f aca="true" t="shared" si="103" ref="BB169:BM169">+($F233/$F$5)</f>
        <v>0</v>
      </c>
      <c r="BC169" s="331">
        <f t="shared" si="103"/>
        <v>0</v>
      </c>
      <c r="BD169" s="331">
        <f t="shared" si="103"/>
        <v>0</v>
      </c>
      <c r="BE169" s="331">
        <f t="shared" si="103"/>
        <v>0</v>
      </c>
      <c r="BF169" s="331">
        <f t="shared" si="103"/>
        <v>0</v>
      </c>
      <c r="BG169" s="331">
        <f t="shared" si="103"/>
        <v>0</v>
      </c>
      <c r="BH169" s="331">
        <f t="shared" si="103"/>
        <v>0</v>
      </c>
      <c r="BI169" s="331">
        <f t="shared" si="103"/>
        <v>0</v>
      </c>
      <c r="BJ169" s="331">
        <f t="shared" si="103"/>
        <v>0</v>
      </c>
      <c r="BK169" s="331">
        <f t="shared" si="103"/>
        <v>0</v>
      </c>
      <c r="BL169" s="331">
        <f t="shared" si="103"/>
        <v>0</v>
      </c>
      <c r="BM169" s="331">
        <f t="shared" si="103"/>
        <v>0</v>
      </c>
    </row>
    <row r="170" spans="5:65" ht="15.75">
      <c r="E170" s="416">
        <f t="shared" si="44"/>
        <v>44272</v>
      </c>
      <c r="F170" s="331"/>
      <c r="K170" s="331"/>
      <c r="M170" s="331"/>
      <c r="Y170" s="331"/>
      <c r="Z170" s="331"/>
      <c r="AA170" s="331"/>
      <c r="AB170" s="331"/>
      <c r="AC170" s="331"/>
      <c r="AD170" s="331"/>
      <c r="AE170" s="331"/>
      <c r="AF170" s="331">
        <f aca="true" t="shared" si="104" ref="AF170:AR170">+($F234/$F$5)</f>
        <v>0</v>
      </c>
      <c r="AG170" s="331">
        <f t="shared" si="104"/>
        <v>0</v>
      </c>
      <c r="AH170" s="331">
        <f t="shared" si="104"/>
        <v>0</v>
      </c>
      <c r="AI170" s="331">
        <f t="shared" si="104"/>
        <v>0</v>
      </c>
      <c r="AJ170" s="331">
        <f t="shared" si="104"/>
        <v>0</v>
      </c>
      <c r="AK170" s="331">
        <f t="shared" si="104"/>
        <v>0</v>
      </c>
      <c r="AL170" s="331">
        <f t="shared" si="104"/>
        <v>0</v>
      </c>
      <c r="AM170" s="331">
        <f t="shared" si="104"/>
        <v>0</v>
      </c>
      <c r="AN170" s="331">
        <f t="shared" si="104"/>
        <v>0</v>
      </c>
      <c r="AO170" s="331">
        <f t="shared" si="104"/>
        <v>0</v>
      </c>
      <c r="AP170" s="331">
        <f t="shared" si="104"/>
        <v>0</v>
      </c>
      <c r="AQ170" s="331">
        <f t="shared" si="104"/>
        <v>0</v>
      </c>
      <c r="AR170" s="331">
        <f t="shared" si="104"/>
        <v>0</v>
      </c>
      <c r="AS170" s="331">
        <f aca="true" t="shared" si="105" ref="AS170:BA170">+($F234/$F$5)</f>
        <v>0</v>
      </c>
      <c r="AT170" s="331">
        <f t="shared" si="105"/>
        <v>0</v>
      </c>
      <c r="AU170" s="331">
        <f t="shared" si="105"/>
        <v>0</v>
      </c>
      <c r="AV170" s="331">
        <f t="shared" si="105"/>
        <v>0</v>
      </c>
      <c r="AW170" s="331">
        <f t="shared" si="105"/>
        <v>0</v>
      </c>
      <c r="AX170" s="331">
        <f t="shared" si="105"/>
        <v>0</v>
      </c>
      <c r="AY170" s="331">
        <f t="shared" si="105"/>
        <v>0</v>
      </c>
      <c r="AZ170" s="331">
        <f t="shared" si="105"/>
        <v>0</v>
      </c>
      <c r="BA170" s="331">
        <f t="shared" si="105"/>
        <v>0</v>
      </c>
      <c r="BB170" s="331">
        <f aca="true" t="shared" si="106" ref="BB170:BM170">+($F234/$F$5)</f>
        <v>0</v>
      </c>
      <c r="BC170" s="331">
        <f t="shared" si="106"/>
        <v>0</v>
      </c>
      <c r="BD170" s="331">
        <f t="shared" si="106"/>
        <v>0</v>
      </c>
      <c r="BE170" s="331">
        <f t="shared" si="106"/>
        <v>0</v>
      </c>
      <c r="BF170" s="331">
        <f t="shared" si="106"/>
        <v>0</v>
      </c>
      <c r="BG170" s="331">
        <f t="shared" si="106"/>
        <v>0</v>
      </c>
      <c r="BH170" s="331">
        <f t="shared" si="106"/>
        <v>0</v>
      </c>
      <c r="BI170" s="331">
        <f t="shared" si="106"/>
        <v>0</v>
      </c>
      <c r="BJ170" s="331">
        <f t="shared" si="106"/>
        <v>0</v>
      </c>
      <c r="BK170" s="331">
        <f t="shared" si="106"/>
        <v>0</v>
      </c>
      <c r="BL170" s="331">
        <f t="shared" si="106"/>
        <v>0</v>
      </c>
      <c r="BM170" s="331">
        <f t="shared" si="106"/>
        <v>0</v>
      </c>
    </row>
    <row r="171" spans="5:65" ht="15.75">
      <c r="E171" s="416">
        <f t="shared" si="44"/>
        <v>44303</v>
      </c>
      <c r="F171" s="331"/>
      <c r="K171" s="331"/>
      <c r="M171" s="331"/>
      <c r="Y171" s="331"/>
      <c r="Z171" s="331"/>
      <c r="AA171" s="331"/>
      <c r="AB171" s="331"/>
      <c r="AC171" s="331"/>
      <c r="AD171" s="331"/>
      <c r="AE171" s="331"/>
      <c r="AF171" s="331"/>
      <c r="AG171" s="331">
        <f aca="true" t="shared" si="107" ref="AG171:AR171">+($F235/$F$5)</f>
        <v>0</v>
      </c>
      <c r="AH171" s="331">
        <f t="shared" si="107"/>
        <v>0</v>
      </c>
      <c r="AI171" s="331">
        <f t="shared" si="107"/>
        <v>0</v>
      </c>
      <c r="AJ171" s="331">
        <f t="shared" si="107"/>
        <v>0</v>
      </c>
      <c r="AK171" s="331">
        <f t="shared" si="107"/>
        <v>0</v>
      </c>
      <c r="AL171" s="331">
        <f t="shared" si="107"/>
        <v>0</v>
      </c>
      <c r="AM171" s="331">
        <f t="shared" si="107"/>
        <v>0</v>
      </c>
      <c r="AN171" s="331">
        <f t="shared" si="107"/>
        <v>0</v>
      </c>
      <c r="AO171" s="331">
        <f t="shared" si="107"/>
        <v>0</v>
      </c>
      <c r="AP171" s="331">
        <f t="shared" si="107"/>
        <v>0</v>
      </c>
      <c r="AQ171" s="331">
        <f t="shared" si="107"/>
        <v>0</v>
      </c>
      <c r="AR171" s="331">
        <f t="shared" si="107"/>
        <v>0</v>
      </c>
      <c r="AS171" s="331">
        <f aca="true" t="shared" si="108" ref="AS171:BA171">+($F235/$F$5)</f>
        <v>0</v>
      </c>
      <c r="AT171" s="331">
        <f t="shared" si="108"/>
        <v>0</v>
      </c>
      <c r="AU171" s="331">
        <f t="shared" si="108"/>
        <v>0</v>
      </c>
      <c r="AV171" s="331">
        <f t="shared" si="108"/>
        <v>0</v>
      </c>
      <c r="AW171" s="331">
        <f t="shared" si="108"/>
        <v>0</v>
      </c>
      <c r="AX171" s="331">
        <f t="shared" si="108"/>
        <v>0</v>
      </c>
      <c r="AY171" s="331">
        <f t="shared" si="108"/>
        <v>0</v>
      </c>
      <c r="AZ171" s="331">
        <f t="shared" si="108"/>
        <v>0</v>
      </c>
      <c r="BA171" s="331">
        <f t="shared" si="108"/>
        <v>0</v>
      </c>
      <c r="BB171" s="331">
        <f aca="true" t="shared" si="109" ref="BB171:BM171">+($F235/$F$5)</f>
        <v>0</v>
      </c>
      <c r="BC171" s="331">
        <f t="shared" si="109"/>
        <v>0</v>
      </c>
      <c r="BD171" s="331">
        <f t="shared" si="109"/>
        <v>0</v>
      </c>
      <c r="BE171" s="331">
        <f t="shared" si="109"/>
        <v>0</v>
      </c>
      <c r="BF171" s="331">
        <f t="shared" si="109"/>
        <v>0</v>
      </c>
      <c r="BG171" s="331">
        <f t="shared" si="109"/>
        <v>0</v>
      </c>
      <c r="BH171" s="331">
        <f t="shared" si="109"/>
        <v>0</v>
      </c>
      <c r="BI171" s="331">
        <f t="shared" si="109"/>
        <v>0</v>
      </c>
      <c r="BJ171" s="331">
        <f t="shared" si="109"/>
        <v>0</v>
      </c>
      <c r="BK171" s="331">
        <f t="shared" si="109"/>
        <v>0</v>
      </c>
      <c r="BL171" s="331">
        <f t="shared" si="109"/>
        <v>0</v>
      </c>
      <c r="BM171" s="331">
        <f t="shared" si="109"/>
        <v>0</v>
      </c>
    </row>
    <row r="172" spans="5:65" ht="15.75">
      <c r="E172" s="416">
        <f t="shared" si="44"/>
        <v>44334</v>
      </c>
      <c r="F172" s="331"/>
      <c r="K172" s="331"/>
      <c r="M172" s="331"/>
      <c r="Y172" s="331"/>
      <c r="Z172" s="331"/>
      <c r="AA172" s="331"/>
      <c r="AB172" s="331"/>
      <c r="AC172" s="331"/>
      <c r="AD172" s="331"/>
      <c r="AE172" s="331"/>
      <c r="AF172" s="331"/>
      <c r="AG172" s="331"/>
      <c r="AH172" s="331">
        <f aca="true" t="shared" si="110" ref="AH172:AR172">+($F236/$F$5)</f>
        <v>0</v>
      </c>
      <c r="AI172" s="331">
        <f t="shared" si="110"/>
        <v>0</v>
      </c>
      <c r="AJ172" s="331">
        <f t="shared" si="110"/>
        <v>0</v>
      </c>
      <c r="AK172" s="331">
        <f t="shared" si="110"/>
        <v>0</v>
      </c>
      <c r="AL172" s="331">
        <f t="shared" si="110"/>
        <v>0</v>
      </c>
      <c r="AM172" s="331">
        <f t="shared" si="110"/>
        <v>0</v>
      </c>
      <c r="AN172" s="331">
        <f t="shared" si="110"/>
        <v>0</v>
      </c>
      <c r="AO172" s="331">
        <f t="shared" si="110"/>
        <v>0</v>
      </c>
      <c r="AP172" s="331">
        <f t="shared" si="110"/>
        <v>0</v>
      </c>
      <c r="AQ172" s="331">
        <f t="shared" si="110"/>
        <v>0</v>
      </c>
      <c r="AR172" s="331">
        <f t="shared" si="110"/>
        <v>0</v>
      </c>
      <c r="AS172" s="331">
        <f aca="true" t="shared" si="111" ref="AS172:BA172">+($F236/$F$5)</f>
        <v>0</v>
      </c>
      <c r="AT172" s="331">
        <f t="shared" si="111"/>
        <v>0</v>
      </c>
      <c r="AU172" s="331">
        <f t="shared" si="111"/>
        <v>0</v>
      </c>
      <c r="AV172" s="331">
        <f t="shared" si="111"/>
        <v>0</v>
      </c>
      <c r="AW172" s="331">
        <f t="shared" si="111"/>
        <v>0</v>
      </c>
      <c r="AX172" s="331">
        <f t="shared" si="111"/>
        <v>0</v>
      </c>
      <c r="AY172" s="331">
        <f t="shared" si="111"/>
        <v>0</v>
      </c>
      <c r="AZ172" s="331">
        <f t="shared" si="111"/>
        <v>0</v>
      </c>
      <c r="BA172" s="331">
        <f t="shared" si="111"/>
        <v>0</v>
      </c>
      <c r="BB172" s="331">
        <f aca="true" t="shared" si="112" ref="BB172:BM172">+($F236/$F$5)</f>
        <v>0</v>
      </c>
      <c r="BC172" s="331">
        <f t="shared" si="112"/>
        <v>0</v>
      </c>
      <c r="BD172" s="331">
        <f t="shared" si="112"/>
        <v>0</v>
      </c>
      <c r="BE172" s="331">
        <f t="shared" si="112"/>
        <v>0</v>
      </c>
      <c r="BF172" s="331">
        <f t="shared" si="112"/>
        <v>0</v>
      </c>
      <c r="BG172" s="331">
        <f t="shared" si="112"/>
        <v>0</v>
      </c>
      <c r="BH172" s="331">
        <f t="shared" si="112"/>
        <v>0</v>
      </c>
      <c r="BI172" s="331">
        <f t="shared" si="112"/>
        <v>0</v>
      </c>
      <c r="BJ172" s="331">
        <f t="shared" si="112"/>
        <v>0</v>
      </c>
      <c r="BK172" s="331">
        <f t="shared" si="112"/>
        <v>0</v>
      </c>
      <c r="BL172" s="331">
        <f t="shared" si="112"/>
        <v>0</v>
      </c>
      <c r="BM172" s="331">
        <f t="shared" si="112"/>
        <v>0</v>
      </c>
    </row>
    <row r="173" spans="5:65" ht="15.75">
      <c r="E173" s="416">
        <f t="shared" si="44"/>
        <v>44365</v>
      </c>
      <c r="F173" s="331"/>
      <c r="K173" s="331"/>
      <c r="M173" s="331"/>
      <c r="Y173" s="331"/>
      <c r="Z173" s="331"/>
      <c r="AA173" s="331"/>
      <c r="AB173" s="331"/>
      <c r="AC173" s="331"/>
      <c r="AD173" s="331"/>
      <c r="AE173" s="331"/>
      <c r="AF173" s="331"/>
      <c r="AG173" s="331"/>
      <c r="AH173" s="331"/>
      <c r="AI173" s="331">
        <f aca="true" t="shared" si="113" ref="AI173:AR173">+($F237/$F$5)</f>
        <v>0</v>
      </c>
      <c r="AJ173" s="331">
        <f t="shared" si="113"/>
        <v>0</v>
      </c>
      <c r="AK173" s="331">
        <f t="shared" si="113"/>
        <v>0</v>
      </c>
      <c r="AL173" s="331">
        <f t="shared" si="113"/>
        <v>0</v>
      </c>
      <c r="AM173" s="331">
        <f t="shared" si="113"/>
        <v>0</v>
      </c>
      <c r="AN173" s="331">
        <f t="shared" si="113"/>
        <v>0</v>
      </c>
      <c r="AO173" s="331">
        <f t="shared" si="113"/>
        <v>0</v>
      </c>
      <c r="AP173" s="331">
        <f t="shared" si="113"/>
        <v>0</v>
      </c>
      <c r="AQ173" s="331">
        <f t="shared" si="113"/>
        <v>0</v>
      </c>
      <c r="AR173" s="331">
        <f t="shared" si="113"/>
        <v>0</v>
      </c>
      <c r="AS173" s="331">
        <f aca="true" t="shared" si="114" ref="AS173:BA173">+($F237/$F$5)</f>
        <v>0</v>
      </c>
      <c r="AT173" s="331">
        <f t="shared" si="114"/>
        <v>0</v>
      </c>
      <c r="AU173" s="331">
        <f t="shared" si="114"/>
        <v>0</v>
      </c>
      <c r="AV173" s="331">
        <f t="shared" si="114"/>
        <v>0</v>
      </c>
      <c r="AW173" s="331">
        <f t="shared" si="114"/>
        <v>0</v>
      </c>
      <c r="AX173" s="331">
        <f t="shared" si="114"/>
        <v>0</v>
      </c>
      <c r="AY173" s="331">
        <f t="shared" si="114"/>
        <v>0</v>
      </c>
      <c r="AZ173" s="331">
        <f t="shared" si="114"/>
        <v>0</v>
      </c>
      <c r="BA173" s="331">
        <f t="shared" si="114"/>
        <v>0</v>
      </c>
      <c r="BB173" s="331">
        <f aca="true" t="shared" si="115" ref="BB173:BM173">+($F237/$F$5)</f>
        <v>0</v>
      </c>
      <c r="BC173" s="331">
        <f t="shared" si="115"/>
        <v>0</v>
      </c>
      <c r="BD173" s="331">
        <f t="shared" si="115"/>
        <v>0</v>
      </c>
      <c r="BE173" s="331">
        <f t="shared" si="115"/>
        <v>0</v>
      </c>
      <c r="BF173" s="331">
        <f t="shared" si="115"/>
        <v>0</v>
      </c>
      <c r="BG173" s="331">
        <f t="shared" si="115"/>
        <v>0</v>
      </c>
      <c r="BH173" s="331">
        <f t="shared" si="115"/>
        <v>0</v>
      </c>
      <c r="BI173" s="331">
        <f t="shared" si="115"/>
        <v>0</v>
      </c>
      <c r="BJ173" s="331">
        <f t="shared" si="115"/>
        <v>0</v>
      </c>
      <c r="BK173" s="331">
        <f t="shared" si="115"/>
        <v>0</v>
      </c>
      <c r="BL173" s="331">
        <f t="shared" si="115"/>
        <v>0</v>
      </c>
      <c r="BM173" s="331">
        <f t="shared" si="115"/>
        <v>0</v>
      </c>
    </row>
    <row r="174" spans="5:65" ht="15.75">
      <c r="E174" s="416">
        <f t="shared" si="44"/>
        <v>44396</v>
      </c>
      <c r="F174" s="331"/>
      <c r="K174" s="331"/>
      <c r="M174" s="331"/>
      <c r="Y174" s="331"/>
      <c r="Z174" s="331"/>
      <c r="AA174" s="331"/>
      <c r="AB174" s="331"/>
      <c r="AC174" s="331"/>
      <c r="AD174" s="331"/>
      <c r="AE174" s="331"/>
      <c r="AF174" s="331"/>
      <c r="AG174" s="331"/>
      <c r="AH174" s="331"/>
      <c r="AI174" s="331"/>
      <c r="AJ174" s="331">
        <f aca="true" t="shared" si="116" ref="AJ174:AR174">+($F238/$F$5)</f>
        <v>0</v>
      </c>
      <c r="AK174" s="331">
        <f t="shared" si="116"/>
        <v>0</v>
      </c>
      <c r="AL174" s="331">
        <f t="shared" si="116"/>
        <v>0</v>
      </c>
      <c r="AM174" s="331">
        <f t="shared" si="116"/>
        <v>0</v>
      </c>
      <c r="AN174" s="331">
        <f t="shared" si="116"/>
        <v>0</v>
      </c>
      <c r="AO174" s="331">
        <f t="shared" si="116"/>
        <v>0</v>
      </c>
      <c r="AP174" s="331">
        <f t="shared" si="116"/>
        <v>0</v>
      </c>
      <c r="AQ174" s="331">
        <f t="shared" si="116"/>
        <v>0</v>
      </c>
      <c r="AR174" s="331">
        <f t="shared" si="116"/>
        <v>0</v>
      </c>
      <c r="AS174" s="331">
        <f aca="true" t="shared" si="117" ref="AS174:BA174">+($F238/$F$5)</f>
        <v>0</v>
      </c>
      <c r="AT174" s="331">
        <f t="shared" si="117"/>
        <v>0</v>
      </c>
      <c r="AU174" s="331">
        <f t="shared" si="117"/>
        <v>0</v>
      </c>
      <c r="AV174" s="331">
        <f t="shared" si="117"/>
        <v>0</v>
      </c>
      <c r="AW174" s="331">
        <f t="shared" si="117"/>
        <v>0</v>
      </c>
      <c r="AX174" s="331">
        <f t="shared" si="117"/>
        <v>0</v>
      </c>
      <c r="AY174" s="331">
        <f t="shared" si="117"/>
        <v>0</v>
      </c>
      <c r="AZ174" s="331">
        <f t="shared" si="117"/>
        <v>0</v>
      </c>
      <c r="BA174" s="331">
        <f t="shared" si="117"/>
        <v>0</v>
      </c>
      <c r="BB174" s="331">
        <f aca="true" t="shared" si="118" ref="BB174:BM174">+($F238/$F$5)</f>
        <v>0</v>
      </c>
      <c r="BC174" s="331">
        <f t="shared" si="118"/>
        <v>0</v>
      </c>
      <c r="BD174" s="331">
        <f t="shared" si="118"/>
        <v>0</v>
      </c>
      <c r="BE174" s="331">
        <f t="shared" si="118"/>
        <v>0</v>
      </c>
      <c r="BF174" s="331">
        <f t="shared" si="118"/>
        <v>0</v>
      </c>
      <c r="BG174" s="331">
        <f t="shared" si="118"/>
        <v>0</v>
      </c>
      <c r="BH174" s="331">
        <f t="shared" si="118"/>
        <v>0</v>
      </c>
      <c r="BI174" s="331">
        <f t="shared" si="118"/>
        <v>0</v>
      </c>
      <c r="BJ174" s="331">
        <f t="shared" si="118"/>
        <v>0</v>
      </c>
      <c r="BK174" s="331">
        <f t="shared" si="118"/>
        <v>0</v>
      </c>
      <c r="BL174" s="331">
        <f t="shared" si="118"/>
        <v>0</v>
      </c>
      <c r="BM174" s="331">
        <f t="shared" si="118"/>
        <v>0</v>
      </c>
    </row>
    <row r="175" spans="5:65" ht="15.75">
      <c r="E175" s="416">
        <f t="shared" si="44"/>
        <v>44427</v>
      </c>
      <c r="F175" s="331"/>
      <c r="K175" s="331"/>
      <c r="M175" s="331"/>
      <c r="Y175" s="331"/>
      <c r="Z175" s="331"/>
      <c r="AA175" s="331"/>
      <c r="AB175" s="331"/>
      <c r="AC175" s="331"/>
      <c r="AD175" s="331"/>
      <c r="AE175" s="331"/>
      <c r="AF175" s="331"/>
      <c r="AG175" s="331"/>
      <c r="AH175" s="331"/>
      <c r="AI175" s="331"/>
      <c r="AJ175" s="331"/>
      <c r="AK175" s="331">
        <f aca="true" t="shared" si="119" ref="AK175:AR175">+($F239/$F$5)</f>
        <v>0</v>
      </c>
      <c r="AL175" s="331">
        <f t="shared" si="119"/>
        <v>0</v>
      </c>
      <c r="AM175" s="331">
        <f t="shared" si="119"/>
        <v>0</v>
      </c>
      <c r="AN175" s="331">
        <f t="shared" si="119"/>
        <v>0</v>
      </c>
      <c r="AO175" s="331">
        <f t="shared" si="119"/>
        <v>0</v>
      </c>
      <c r="AP175" s="331">
        <f t="shared" si="119"/>
        <v>0</v>
      </c>
      <c r="AQ175" s="331">
        <f t="shared" si="119"/>
        <v>0</v>
      </c>
      <c r="AR175" s="331">
        <f t="shared" si="119"/>
        <v>0</v>
      </c>
      <c r="AS175" s="331">
        <f aca="true" t="shared" si="120" ref="AS175:BA175">+($F239/$F$5)</f>
        <v>0</v>
      </c>
      <c r="AT175" s="331">
        <f t="shared" si="120"/>
        <v>0</v>
      </c>
      <c r="AU175" s="331">
        <f t="shared" si="120"/>
        <v>0</v>
      </c>
      <c r="AV175" s="331">
        <f t="shared" si="120"/>
        <v>0</v>
      </c>
      <c r="AW175" s="331">
        <f t="shared" si="120"/>
        <v>0</v>
      </c>
      <c r="AX175" s="331">
        <f t="shared" si="120"/>
        <v>0</v>
      </c>
      <c r="AY175" s="331">
        <f t="shared" si="120"/>
        <v>0</v>
      </c>
      <c r="AZ175" s="331">
        <f t="shared" si="120"/>
        <v>0</v>
      </c>
      <c r="BA175" s="331">
        <f t="shared" si="120"/>
        <v>0</v>
      </c>
      <c r="BB175" s="331">
        <f aca="true" t="shared" si="121" ref="BB175:BM175">+($F239/$F$5)</f>
        <v>0</v>
      </c>
      <c r="BC175" s="331">
        <f t="shared" si="121"/>
        <v>0</v>
      </c>
      <c r="BD175" s="331">
        <f t="shared" si="121"/>
        <v>0</v>
      </c>
      <c r="BE175" s="331">
        <f t="shared" si="121"/>
        <v>0</v>
      </c>
      <c r="BF175" s="331">
        <f t="shared" si="121"/>
        <v>0</v>
      </c>
      <c r="BG175" s="331">
        <f t="shared" si="121"/>
        <v>0</v>
      </c>
      <c r="BH175" s="331">
        <f t="shared" si="121"/>
        <v>0</v>
      </c>
      <c r="BI175" s="331">
        <f t="shared" si="121"/>
        <v>0</v>
      </c>
      <c r="BJ175" s="331">
        <f t="shared" si="121"/>
        <v>0</v>
      </c>
      <c r="BK175" s="331">
        <f t="shared" si="121"/>
        <v>0</v>
      </c>
      <c r="BL175" s="331">
        <f t="shared" si="121"/>
        <v>0</v>
      </c>
      <c r="BM175" s="331">
        <f t="shared" si="121"/>
        <v>0</v>
      </c>
    </row>
    <row r="176" spans="5:65" ht="15.75">
      <c r="E176" s="416">
        <f t="shared" si="44"/>
        <v>44458</v>
      </c>
      <c r="F176" s="331"/>
      <c r="K176" s="331"/>
      <c r="M176" s="331"/>
      <c r="Y176" s="331"/>
      <c r="Z176" s="331"/>
      <c r="AA176" s="331"/>
      <c r="AB176" s="331"/>
      <c r="AC176" s="331"/>
      <c r="AD176" s="331"/>
      <c r="AE176" s="331"/>
      <c r="AF176" s="331"/>
      <c r="AG176" s="331"/>
      <c r="AH176" s="331"/>
      <c r="AI176" s="331"/>
      <c r="AJ176" s="331"/>
      <c r="AK176" s="331"/>
      <c r="AL176" s="331">
        <f aca="true" t="shared" si="122" ref="AL176:AR176">+($F240/$F$5)</f>
        <v>0</v>
      </c>
      <c r="AM176" s="331">
        <f t="shared" si="122"/>
        <v>0</v>
      </c>
      <c r="AN176" s="331">
        <f t="shared" si="122"/>
        <v>0</v>
      </c>
      <c r="AO176" s="331">
        <f t="shared" si="122"/>
        <v>0</v>
      </c>
      <c r="AP176" s="331">
        <f t="shared" si="122"/>
        <v>0</v>
      </c>
      <c r="AQ176" s="331">
        <f t="shared" si="122"/>
        <v>0</v>
      </c>
      <c r="AR176" s="331">
        <f t="shared" si="122"/>
        <v>0</v>
      </c>
      <c r="AS176" s="331">
        <f aca="true" t="shared" si="123" ref="AS176:BA176">+($F240/$F$5)</f>
        <v>0</v>
      </c>
      <c r="AT176" s="331">
        <f t="shared" si="123"/>
        <v>0</v>
      </c>
      <c r="AU176" s="331">
        <f t="shared" si="123"/>
        <v>0</v>
      </c>
      <c r="AV176" s="331">
        <f t="shared" si="123"/>
        <v>0</v>
      </c>
      <c r="AW176" s="331">
        <f t="shared" si="123"/>
        <v>0</v>
      </c>
      <c r="AX176" s="331">
        <f t="shared" si="123"/>
        <v>0</v>
      </c>
      <c r="AY176" s="331">
        <f t="shared" si="123"/>
        <v>0</v>
      </c>
      <c r="AZ176" s="331">
        <f t="shared" si="123"/>
        <v>0</v>
      </c>
      <c r="BA176" s="331">
        <f t="shared" si="123"/>
        <v>0</v>
      </c>
      <c r="BB176" s="331">
        <f aca="true" t="shared" si="124" ref="BB176:BM176">+($F240/$F$5)</f>
        <v>0</v>
      </c>
      <c r="BC176" s="331">
        <f t="shared" si="124"/>
        <v>0</v>
      </c>
      <c r="BD176" s="331">
        <f t="shared" si="124"/>
        <v>0</v>
      </c>
      <c r="BE176" s="331">
        <f t="shared" si="124"/>
        <v>0</v>
      </c>
      <c r="BF176" s="331">
        <f t="shared" si="124"/>
        <v>0</v>
      </c>
      <c r="BG176" s="331">
        <f t="shared" si="124"/>
        <v>0</v>
      </c>
      <c r="BH176" s="331">
        <f t="shared" si="124"/>
        <v>0</v>
      </c>
      <c r="BI176" s="331">
        <f t="shared" si="124"/>
        <v>0</v>
      </c>
      <c r="BJ176" s="331">
        <f t="shared" si="124"/>
        <v>0</v>
      </c>
      <c r="BK176" s="331">
        <f t="shared" si="124"/>
        <v>0</v>
      </c>
      <c r="BL176" s="331">
        <f t="shared" si="124"/>
        <v>0</v>
      </c>
      <c r="BM176" s="331">
        <f t="shared" si="124"/>
        <v>0</v>
      </c>
    </row>
    <row r="177" spans="5:65" ht="15.75">
      <c r="E177" s="416">
        <f t="shared" si="44"/>
        <v>44489</v>
      </c>
      <c r="F177" s="331"/>
      <c r="K177" s="331"/>
      <c r="M177" s="331"/>
      <c r="Y177" s="331"/>
      <c r="Z177" s="331"/>
      <c r="AA177" s="331"/>
      <c r="AB177" s="331"/>
      <c r="AC177" s="331"/>
      <c r="AD177" s="331"/>
      <c r="AE177" s="331"/>
      <c r="AF177" s="331"/>
      <c r="AG177" s="331"/>
      <c r="AH177" s="331"/>
      <c r="AI177" s="331"/>
      <c r="AJ177" s="331"/>
      <c r="AK177" s="331"/>
      <c r="AL177" s="331"/>
      <c r="AM177" s="331">
        <f aca="true" t="shared" si="125" ref="AM177:AR177">+($F241/$F$5)</f>
        <v>0</v>
      </c>
      <c r="AN177" s="331">
        <f t="shared" si="125"/>
        <v>0</v>
      </c>
      <c r="AO177" s="331">
        <f t="shared" si="125"/>
        <v>0</v>
      </c>
      <c r="AP177" s="331">
        <f t="shared" si="125"/>
        <v>0</v>
      </c>
      <c r="AQ177" s="331">
        <f t="shared" si="125"/>
        <v>0</v>
      </c>
      <c r="AR177" s="331">
        <f t="shared" si="125"/>
        <v>0</v>
      </c>
      <c r="AS177" s="331">
        <f aca="true" t="shared" si="126" ref="AS177:BA177">+($F241/$F$5)</f>
        <v>0</v>
      </c>
      <c r="AT177" s="331">
        <f t="shared" si="126"/>
        <v>0</v>
      </c>
      <c r="AU177" s="331">
        <f t="shared" si="126"/>
        <v>0</v>
      </c>
      <c r="AV177" s="331">
        <f t="shared" si="126"/>
        <v>0</v>
      </c>
      <c r="AW177" s="331">
        <f t="shared" si="126"/>
        <v>0</v>
      </c>
      <c r="AX177" s="331">
        <f t="shared" si="126"/>
        <v>0</v>
      </c>
      <c r="AY177" s="331">
        <f t="shared" si="126"/>
        <v>0</v>
      </c>
      <c r="AZ177" s="331">
        <f t="shared" si="126"/>
        <v>0</v>
      </c>
      <c r="BA177" s="331">
        <f t="shared" si="126"/>
        <v>0</v>
      </c>
      <c r="BB177" s="331">
        <f aca="true" t="shared" si="127" ref="BB177:BM177">+($F241/$F$5)</f>
        <v>0</v>
      </c>
      <c r="BC177" s="331">
        <f t="shared" si="127"/>
        <v>0</v>
      </c>
      <c r="BD177" s="331">
        <f t="shared" si="127"/>
        <v>0</v>
      </c>
      <c r="BE177" s="331">
        <f t="shared" si="127"/>
        <v>0</v>
      </c>
      <c r="BF177" s="331">
        <f t="shared" si="127"/>
        <v>0</v>
      </c>
      <c r="BG177" s="331">
        <f t="shared" si="127"/>
        <v>0</v>
      </c>
      <c r="BH177" s="331">
        <f t="shared" si="127"/>
        <v>0</v>
      </c>
      <c r="BI177" s="331">
        <f t="shared" si="127"/>
        <v>0</v>
      </c>
      <c r="BJ177" s="331">
        <f t="shared" si="127"/>
        <v>0</v>
      </c>
      <c r="BK177" s="331">
        <f t="shared" si="127"/>
        <v>0</v>
      </c>
      <c r="BL177" s="331">
        <f t="shared" si="127"/>
        <v>0</v>
      </c>
      <c r="BM177" s="331">
        <f t="shared" si="127"/>
        <v>0</v>
      </c>
    </row>
    <row r="178" spans="5:65" ht="15.75">
      <c r="E178" s="416">
        <f t="shared" si="44"/>
        <v>44520</v>
      </c>
      <c r="F178" s="331"/>
      <c r="K178" s="331"/>
      <c r="M178" s="331"/>
      <c r="Y178" s="331"/>
      <c r="Z178" s="331"/>
      <c r="AA178" s="331"/>
      <c r="AB178" s="331"/>
      <c r="AC178" s="331"/>
      <c r="AD178" s="331"/>
      <c r="AE178" s="331"/>
      <c r="AF178" s="331"/>
      <c r="AG178" s="331"/>
      <c r="AH178" s="331"/>
      <c r="AI178" s="331"/>
      <c r="AJ178" s="331"/>
      <c r="AK178" s="331"/>
      <c r="AL178" s="331"/>
      <c r="AM178" s="331"/>
      <c r="AN178" s="331">
        <f>+($F242/$F$5)</f>
        <v>0</v>
      </c>
      <c r="AO178" s="331">
        <f>+($F242/$F$5)</f>
        <v>0</v>
      </c>
      <c r="AP178" s="331">
        <f>+($F242/$F$5)</f>
        <v>0</v>
      </c>
      <c r="AQ178" s="331">
        <f>+($F242/$F$5)</f>
        <v>0</v>
      </c>
      <c r="AR178" s="331">
        <f>+($F242/$F$5)</f>
        <v>0</v>
      </c>
      <c r="AS178" s="331">
        <f aca="true" t="shared" si="128" ref="AS178:BA178">+($F242/$F$5)</f>
        <v>0</v>
      </c>
      <c r="AT178" s="331">
        <f t="shared" si="128"/>
        <v>0</v>
      </c>
      <c r="AU178" s="331">
        <f t="shared" si="128"/>
        <v>0</v>
      </c>
      <c r="AV178" s="331">
        <f t="shared" si="128"/>
        <v>0</v>
      </c>
      <c r="AW178" s="331">
        <f t="shared" si="128"/>
        <v>0</v>
      </c>
      <c r="AX178" s="331">
        <f t="shared" si="128"/>
        <v>0</v>
      </c>
      <c r="AY178" s="331">
        <f t="shared" si="128"/>
        <v>0</v>
      </c>
      <c r="AZ178" s="331">
        <f t="shared" si="128"/>
        <v>0</v>
      </c>
      <c r="BA178" s="331">
        <f t="shared" si="128"/>
        <v>0</v>
      </c>
      <c r="BB178" s="331">
        <f aca="true" t="shared" si="129" ref="BB178:BM178">+($F242/$F$5)</f>
        <v>0</v>
      </c>
      <c r="BC178" s="331">
        <f t="shared" si="129"/>
        <v>0</v>
      </c>
      <c r="BD178" s="331">
        <f t="shared" si="129"/>
        <v>0</v>
      </c>
      <c r="BE178" s="331">
        <f t="shared" si="129"/>
        <v>0</v>
      </c>
      <c r="BF178" s="331">
        <f t="shared" si="129"/>
        <v>0</v>
      </c>
      <c r="BG178" s="331">
        <f t="shared" si="129"/>
        <v>0</v>
      </c>
      <c r="BH178" s="331">
        <f t="shared" si="129"/>
        <v>0</v>
      </c>
      <c r="BI178" s="331">
        <f t="shared" si="129"/>
        <v>0</v>
      </c>
      <c r="BJ178" s="331">
        <f t="shared" si="129"/>
        <v>0</v>
      </c>
      <c r="BK178" s="331">
        <f t="shared" si="129"/>
        <v>0</v>
      </c>
      <c r="BL178" s="331">
        <f t="shared" si="129"/>
        <v>0</v>
      </c>
      <c r="BM178" s="331">
        <f t="shared" si="129"/>
        <v>0</v>
      </c>
    </row>
    <row r="179" spans="5:65" ht="15.75">
      <c r="E179" s="416">
        <f t="shared" si="44"/>
        <v>44551</v>
      </c>
      <c r="F179" s="331"/>
      <c r="K179" s="331"/>
      <c r="M179" s="331"/>
      <c r="Y179" s="331"/>
      <c r="Z179" s="331"/>
      <c r="AA179" s="331"/>
      <c r="AB179" s="331"/>
      <c r="AC179" s="331"/>
      <c r="AD179" s="331"/>
      <c r="AE179" s="331"/>
      <c r="AF179" s="331"/>
      <c r="AG179" s="331"/>
      <c r="AH179" s="331"/>
      <c r="AI179" s="331"/>
      <c r="AJ179" s="331"/>
      <c r="AK179" s="331"/>
      <c r="AL179" s="331"/>
      <c r="AM179" s="331"/>
      <c r="AN179" s="331"/>
      <c r="AO179" s="331">
        <f>+($F243/$F$5)</f>
        <v>0</v>
      </c>
      <c r="AP179" s="331">
        <f>+($F243/$F$5)</f>
        <v>0</v>
      </c>
      <c r="AQ179" s="331">
        <f>+($F243/$F$5)</f>
        <v>0</v>
      </c>
      <c r="AR179" s="331">
        <f>+($F243/$F$5)</f>
        <v>0</v>
      </c>
      <c r="AS179" s="331">
        <f aca="true" t="shared" si="130" ref="AS179:BA179">+($F243/$F$5)</f>
        <v>0</v>
      </c>
      <c r="AT179" s="331">
        <f t="shared" si="130"/>
        <v>0</v>
      </c>
      <c r="AU179" s="331">
        <f t="shared" si="130"/>
        <v>0</v>
      </c>
      <c r="AV179" s="331">
        <f t="shared" si="130"/>
        <v>0</v>
      </c>
      <c r="AW179" s="331">
        <f t="shared" si="130"/>
        <v>0</v>
      </c>
      <c r="AX179" s="331">
        <f t="shared" si="130"/>
        <v>0</v>
      </c>
      <c r="AY179" s="331">
        <f t="shared" si="130"/>
        <v>0</v>
      </c>
      <c r="AZ179" s="331">
        <f t="shared" si="130"/>
        <v>0</v>
      </c>
      <c r="BA179" s="331">
        <f t="shared" si="130"/>
        <v>0</v>
      </c>
      <c r="BB179" s="331">
        <f aca="true" t="shared" si="131" ref="BB179:BM179">+($F243/$F$5)</f>
        <v>0</v>
      </c>
      <c r="BC179" s="331">
        <f t="shared" si="131"/>
        <v>0</v>
      </c>
      <c r="BD179" s="331">
        <f t="shared" si="131"/>
        <v>0</v>
      </c>
      <c r="BE179" s="331">
        <f t="shared" si="131"/>
        <v>0</v>
      </c>
      <c r="BF179" s="331">
        <f t="shared" si="131"/>
        <v>0</v>
      </c>
      <c r="BG179" s="331">
        <f t="shared" si="131"/>
        <v>0</v>
      </c>
      <c r="BH179" s="331">
        <f t="shared" si="131"/>
        <v>0</v>
      </c>
      <c r="BI179" s="331">
        <f t="shared" si="131"/>
        <v>0</v>
      </c>
      <c r="BJ179" s="331">
        <f t="shared" si="131"/>
        <v>0</v>
      </c>
      <c r="BK179" s="331">
        <f t="shared" si="131"/>
        <v>0</v>
      </c>
      <c r="BL179" s="331">
        <f t="shared" si="131"/>
        <v>0</v>
      </c>
      <c r="BM179" s="331">
        <f t="shared" si="131"/>
        <v>0</v>
      </c>
    </row>
    <row r="180" spans="5:65" ht="15.75">
      <c r="E180" s="416">
        <f t="shared" si="44"/>
        <v>44582</v>
      </c>
      <c r="F180" s="331"/>
      <c r="K180" s="331"/>
      <c r="M180" s="331"/>
      <c r="Y180" s="331"/>
      <c r="Z180" s="331"/>
      <c r="AA180" s="331"/>
      <c r="AB180" s="331"/>
      <c r="AC180" s="331"/>
      <c r="AD180" s="331"/>
      <c r="AE180" s="331"/>
      <c r="AF180" s="331"/>
      <c r="AG180" s="331"/>
      <c r="AH180" s="331"/>
      <c r="AI180" s="331"/>
      <c r="AJ180" s="331"/>
      <c r="AK180" s="331"/>
      <c r="AL180" s="331"/>
      <c r="AM180" s="331"/>
      <c r="AN180" s="331"/>
      <c r="AO180" s="331"/>
      <c r="AP180" s="331">
        <f>+($F244/$F$5)</f>
        <v>0</v>
      </c>
      <c r="AQ180" s="331">
        <f>+($F244/$F$5)</f>
        <v>0</v>
      </c>
      <c r="AR180" s="331">
        <f>+($F244/$F$5)</f>
        <v>0</v>
      </c>
      <c r="AS180" s="331">
        <f aca="true" t="shared" si="132" ref="AS180:BA180">+($F244/$F$5)</f>
        <v>0</v>
      </c>
      <c r="AT180" s="331">
        <f t="shared" si="132"/>
        <v>0</v>
      </c>
      <c r="AU180" s="331">
        <f t="shared" si="132"/>
        <v>0</v>
      </c>
      <c r="AV180" s="331">
        <f t="shared" si="132"/>
        <v>0</v>
      </c>
      <c r="AW180" s="331">
        <f t="shared" si="132"/>
        <v>0</v>
      </c>
      <c r="AX180" s="331">
        <f t="shared" si="132"/>
        <v>0</v>
      </c>
      <c r="AY180" s="331">
        <f t="shared" si="132"/>
        <v>0</v>
      </c>
      <c r="AZ180" s="331">
        <f t="shared" si="132"/>
        <v>0</v>
      </c>
      <c r="BA180" s="331">
        <f t="shared" si="132"/>
        <v>0</v>
      </c>
      <c r="BB180" s="331">
        <f aca="true" t="shared" si="133" ref="BB180:BM180">+($F244/$F$5)</f>
        <v>0</v>
      </c>
      <c r="BC180" s="331">
        <f t="shared" si="133"/>
        <v>0</v>
      </c>
      <c r="BD180" s="331">
        <f t="shared" si="133"/>
        <v>0</v>
      </c>
      <c r="BE180" s="331">
        <f t="shared" si="133"/>
        <v>0</v>
      </c>
      <c r="BF180" s="331">
        <f t="shared" si="133"/>
        <v>0</v>
      </c>
      <c r="BG180" s="331">
        <f t="shared" si="133"/>
        <v>0</v>
      </c>
      <c r="BH180" s="331">
        <f t="shared" si="133"/>
        <v>0</v>
      </c>
      <c r="BI180" s="331">
        <f t="shared" si="133"/>
        <v>0</v>
      </c>
      <c r="BJ180" s="331">
        <f t="shared" si="133"/>
        <v>0</v>
      </c>
      <c r="BK180" s="331">
        <f t="shared" si="133"/>
        <v>0</v>
      </c>
      <c r="BL180" s="331">
        <f t="shared" si="133"/>
        <v>0</v>
      </c>
      <c r="BM180" s="331">
        <f t="shared" si="133"/>
        <v>0</v>
      </c>
    </row>
    <row r="181" spans="5:65" ht="15.75">
      <c r="E181" s="416">
        <f t="shared" si="44"/>
        <v>44613</v>
      </c>
      <c r="F181" s="331"/>
      <c r="K181" s="331"/>
      <c r="M181" s="331"/>
      <c r="Y181" s="331"/>
      <c r="Z181" s="331"/>
      <c r="AA181" s="331"/>
      <c r="AB181" s="331"/>
      <c r="AC181" s="331"/>
      <c r="AD181" s="331"/>
      <c r="AE181" s="331"/>
      <c r="AF181" s="331"/>
      <c r="AG181" s="331"/>
      <c r="AH181" s="331"/>
      <c r="AI181" s="331"/>
      <c r="AJ181" s="331"/>
      <c r="AK181" s="331"/>
      <c r="AL181" s="331"/>
      <c r="AM181" s="331"/>
      <c r="AN181" s="331"/>
      <c r="AO181" s="331"/>
      <c r="AP181" s="331"/>
      <c r="AQ181" s="331">
        <f>+($F245/$F$5)</f>
        <v>0</v>
      </c>
      <c r="AR181" s="331">
        <f>+($F245/$F$5)</f>
        <v>0</v>
      </c>
      <c r="AS181" s="331">
        <f aca="true" t="shared" si="134" ref="AS181:BA181">+($F245/$F$5)</f>
        <v>0</v>
      </c>
      <c r="AT181" s="331">
        <f t="shared" si="134"/>
        <v>0</v>
      </c>
      <c r="AU181" s="331">
        <f t="shared" si="134"/>
        <v>0</v>
      </c>
      <c r="AV181" s="331">
        <f t="shared" si="134"/>
        <v>0</v>
      </c>
      <c r="AW181" s="331">
        <f t="shared" si="134"/>
        <v>0</v>
      </c>
      <c r="AX181" s="331">
        <f t="shared" si="134"/>
        <v>0</v>
      </c>
      <c r="AY181" s="331">
        <f t="shared" si="134"/>
        <v>0</v>
      </c>
      <c r="AZ181" s="331">
        <f t="shared" si="134"/>
        <v>0</v>
      </c>
      <c r="BA181" s="331">
        <f t="shared" si="134"/>
        <v>0</v>
      </c>
      <c r="BB181" s="331">
        <f aca="true" t="shared" si="135" ref="BB181:BM181">+($F245/$F$5)</f>
        <v>0</v>
      </c>
      <c r="BC181" s="331">
        <f t="shared" si="135"/>
        <v>0</v>
      </c>
      <c r="BD181" s="331">
        <f t="shared" si="135"/>
        <v>0</v>
      </c>
      <c r="BE181" s="331">
        <f t="shared" si="135"/>
        <v>0</v>
      </c>
      <c r="BF181" s="331">
        <f t="shared" si="135"/>
        <v>0</v>
      </c>
      <c r="BG181" s="331">
        <f t="shared" si="135"/>
        <v>0</v>
      </c>
      <c r="BH181" s="331">
        <f t="shared" si="135"/>
        <v>0</v>
      </c>
      <c r="BI181" s="331">
        <f t="shared" si="135"/>
        <v>0</v>
      </c>
      <c r="BJ181" s="331">
        <f t="shared" si="135"/>
        <v>0</v>
      </c>
      <c r="BK181" s="331">
        <f t="shared" si="135"/>
        <v>0</v>
      </c>
      <c r="BL181" s="331">
        <f t="shared" si="135"/>
        <v>0</v>
      </c>
      <c r="BM181" s="331">
        <f t="shared" si="135"/>
        <v>0</v>
      </c>
    </row>
    <row r="182" spans="5:65" ht="15.75">
      <c r="E182" s="416">
        <f t="shared" si="44"/>
        <v>44644</v>
      </c>
      <c r="F182" s="331"/>
      <c r="K182" s="331"/>
      <c r="M182" s="331"/>
      <c r="Y182" s="331"/>
      <c r="Z182" s="331"/>
      <c r="AA182" s="331"/>
      <c r="AB182" s="331"/>
      <c r="AC182" s="331"/>
      <c r="AD182" s="331"/>
      <c r="AE182" s="331"/>
      <c r="AF182" s="331"/>
      <c r="AG182" s="331"/>
      <c r="AH182" s="331"/>
      <c r="AI182" s="331"/>
      <c r="AJ182" s="331"/>
      <c r="AK182" s="331"/>
      <c r="AL182" s="331"/>
      <c r="AM182" s="331"/>
      <c r="AN182" s="331"/>
      <c r="AO182" s="331"/>
      <c r="AP182" s="331"/>
      <c r="AQ182" s="331"/>
      <c r="AR182" s="331">
        <f>+($F246/$F$5)</f>
        <v>0</v>
      </c>
      <c r="AS182" s="331">
        <f aca="true" t="shared" si="136" ref="AS182:BA182">+($F246/$F$5)</f>
        <v>0</v>
      </c>
      <c r="AT182" s="331">
        <f t="shared" si="136"/>
        <v>0</v>
      </c>
      <c r="AU182" s="331">
        <f t="shared" si="136"/>
        <v>0</v>
      </c>
      <c r="AV182" s="331">
        <f t="shared" si="136"/>
        <v>0</v>
      </c>
      <c r="AW182" s="331">
        <f t="shared" si="136"/>
        <v>0</v>
      </c>
      <c r="AX182" s="331">
        <f t="shared" si="136"/>
        <v>0</v>
      </c>
      <c r="AY182" s="331">
        <f t="shared" si="136"/>
        <v>0</v>
      </c>
      <c r="AZ182" s="331">
        <f t="shared" si="136"/>
        <v>0</v>
      </c>
      <c r="BA182" s="331">
        <f t="shared" si="136"/>
        <v>0</v>
      </c>
      <c r="BB182" s="331">
        <f aca="true" t="shared" si="137" ref="BB182:BM182">+($F246/$F$5)</f>
        <v>0</v>
      </c>
      <c r="BC182" s="331">
        <f t="shared" si="137"/>
        <v>0</v>
      </c>
      <c r="BD182" s="331">
        <f t="shared" si="137"/>
        <v>0</v>
      </c>
      <c r="BE182" s="331">
        <f t="shared" si="137"/>
        <v>0</v>
      </c>
      <c r="BF182" s="331">
        <f t="shared" si="137"/>
        <v>0</v>
      </c>
      <c r="BG182" s="331">
        <f t="shared" si="137"/>
        <v>0</v>
      </c>
      <c r="BH182" s="331">
        <f t="shared" si="137"/>
        <v>0</v>
      </c>
      <c r="BI182" s="331">
        <f t="shared" si="137"/>
        <v>0</v>
      </c>
      <c r="BJ182" s="331">
        <f t="shared" si="137"/>
        <v>0</v>
      </c>
      <c r="BK182" s="331">
        <f t="shared" si="137"/>
        <v>0</v>
      </c>
      <c r="BL182" s="331">
        <f t="shared" si="137"/>
        <v>0</v>
      </c>
      <c r="BM182" s="331">
        <f t="shared" si="137"/>
        <v>0</v>
      </c>
    </row>
    <row r="183" spans="5:65" ht="15.75">
      <c r="E183" s="416">
        <f t="shared" si="44"/>
        <v>44675</v>
      </c>
      <c r="F183" s="331"/>
      <c r="K183" s="331"/>
      <c r="M183" s="331"/>
      <c r="Y183" s="331"/>
      <c r="Z183" s="331"/>
      <c r="AA183" s="331"/>
      <c r="AB183" s="331"/>
      <c r="AC183" s="331"/>
      <c r="AD183" s="331"/>
      <c r="AE183" s="331"/>
      <c r="AF183" s="331"/>
      <c r="AG183" s="331"/>
      <c r="AH183" s="331"/>
      <c r="AI183" s="331"/>
      <c r="AJ183" s="331"/>
      <c r="AK183" s="331"/>
      <c r="AL183" s="331"/>
      <c r="AM183" s="331"/>
      <c r="AN183" s="331"/>
      <c r="AO183" s="331"/>
      <c r="AP183" s="331"/>
      <c r="AQ183" s="331"/>
      <c r="AR183" s="331"/>
      <c r="AS183" s="331">
        <f aca="true" t="shared" si="138" ref="AS183:BA183">+($F247/$F$5)</f>
        <v>0</v>
      </c>
      <c r="AT183" s="331">
        <f t="shared" si="138"/>
        <v>0</v>
      </c>
      <c r="AU183" s="331">
        <f t="shared" si="138"/>
        <v>0</v>
      </c>
      <c r="AV183" s="331">
        <f t="shared" si="138"/>
        <v>0</v>
      </c>
      <c r="AW183" s="331">
        <f t="shared" si="138"/>
        <v>0</v>
      </c>
      <c r="AX183" s="331">
        <f t="shared" si="138"/>
        <v>0</v>
      </c>
      <c r="AY183" s="331">
        <f t="shared" si="138"/>
        <v>0</v>
      </c>
      <c r="AZ183" s="331">
        <f t="shared" si="138"/>
        <v>0</v>
      </c>
      <c r="BA183" s="331">
        <f t="shared" si="138"/>
        <v>0</v>
      </c>
      <c r="BB183" s="331">
        <f aca="true" t="shared" si="139" ref="BB183:BM183">+($F247/$F$5)</f>
        <v>0</v>
      </c>
      <c r="BC183" s="331">
        <f t="shared" si="139"/>
        <v>0</v>
      </c>
      <c r="BD183" s="331">
        <f t="shared" si="139"/>
        <v>0</v>
      </c>
      <c r="BE183" s="331">
        <f t="shared" si="139"/>
        <v>0</v>
      </c>
      <c r="BF183" s="331">
        <f t="shared" si="139"/>
        <v>0</v>
      </c>
      <c r="BG183" s="331">
        <f t="shared" si="139"/>
        <v>0</v>
      </c>
      <c r="BH183" s="331">
        <f t="shared" si="139"/>
        <v>0</v>
      </c>
      <c r="BI183" s="331">
        <f t="shared" si="139"/>
        <v>0</v>
      </c>
      <c r="BJ183" s="331">
        <f t="shared" si="139"/>
        <v>0</v>
      </c>
      <c r="BK183" s="331">
        <f t="shared" si="139"/>
        <v>0</v>
      </c>
      <c r="BL183" s="331">
        <f t="shared" si="139"/>
        <v>0</v>
      </c>
      <c r="BM183" s="331">
        <f t="shared" si="139"/>
        <v>0</v>
      </c>
    </row>
    <row r="184" spans="5:65" ht="15.75">
      <c r="E184" s="416">
        <f t="shared" si="44"/>
        <v>44706</v>
      </c>
      <c r="F184" s="331"/>
      <c r="K184" s="331"/>
      <c r="M184" s="331"/>
      <c r="Y184" s="331"/>
      <c r="Z184" s="331"/>
      <c r="AA184" s="331"/>
      <c r="AB184" s="331"/>
      <c r="AC184" s="331"/>
      <c r="AD184" s="331"/>
      <c r="AE184" s="331"/>
      <c r="AF184" s="331"/>
      <c r="AG184" s="331"/>
      <c r="AH184" s="331"/>
      <c r="AI184" s="331"/>
      <c r="AJ184" s="331"/>
      <c r="AK184" s="331"/>
      <c r="AL184" s="331"/>
      <c r="AM184" s="331"/>
      <c r="AN184" s="331"/>
      <c r="AO184" s="331"/>
      <c r="AP184" s="331"/>
      <c r="AQ184" s="331"/>
      <c r="AR184" s="331"/>
      <c r="AS184" s="331"/>
      <c r="AT184" s="331">
        <f aca="true" t="shared" si="140" ref="AT184:BA184">+($F248/$F$5)</f>
        <v>0</v>
      </c>
      <c r="AU184" s="331">
        <f t="shared" si="140"/>
        <v>0</v>
      </c>
      <c r="AV184" s="331">
        <f t="shared" si="140"/>
        <v>0</v>
      </c>
      <c r="AW184" s="331">
        <f t="shared" si="140"/>
        <v>0</v>
      </c>
      <c r="AX184" s="331">
        <f t="shared" si="140"/>
        <v>0</v>
      </c>
      <c r="AY184" s="331">
        <f t="shared" si="140"/>
        <v>0</v>
      </c>
      <c r="AZ184" s="331">
        <f t="shared" si="140"/>
        <v>0</v>
      </c>
      <c r="BA184" s="331">
        <f t="shared" si="140"/>
        <v>0</v>
      </c>
      <c r="BB184" s="331">
        <f aca="true" t="shared" si="141" ref="BB184:BM184">+($F248/$F$5)</f>
        <v>0</v>
      </c>
      <c r="BC184" s="331">
        <f t="shared" si="141"/>
        <v>0</v>
      </c>
      <c r="BD184" s="331">
        <f t="shared" si="141"/>
        <v>0</v>
      </c>
      <c r="BE184" s="331">
        <f t="shared" si="141"/>
        <v>0</v>
      </c>
      <c r="BF184" s="331">
        <f t="shared" si="141"/>
        <v>0</v>
      </c>
      <c r="BG184" s="331">
        <f t="shared" si="141"/>
        <v>0</v>
      </c>
      <c r="BH184" s="331">
        <f t="shared" si="141"/>
        <v>0</v>
      </c>
      <c r="BI184" s="331">
        <f t="shared" si="141"/>
        <v>0</v>
      </c>
      <c r="BJ184" s="331">
        <f t="shared" si="141"/>
        <v>0</v>
      </c>
      <c r="BK184" s="331">
        <f t="shared" si="141"/>
        <v>0</v>
      </c>
      <c r="BL184" s="331">
        <f t="shared" si="141"/>
        <v>0</v>
      </c>
      <c r="BM184" s="331">
        <f t="shared" si="141"/>
        <v>0</v>
      </c>
    </row>
    <row r="185" spans="5:65" ht="15.75">
      <c r="E185" s="416">
        <f t="shared" si="44"/>
        <v>44737</v>
      </c>
      <c r="F185" s="331"/>
      <c r="K185" s="331"/>
      <c r="M185" s="331"/>
      <c r="Y185" s="331"/>
      <c r="Z185" s="331"/>
      <c r="AA185" s="331"/>
      <c r="AB185" s="331"/>
      <c r="AC185" s="331"/>
      <c r="AD185" s="331"/>
      <c r="AE185" s="331"/>
      <c r="AF185" s="331"/>
      <c r="AG185" s="331"/>
      <c r="AH185" s="331"/>
      <c r="AI185" s="331"/>
      <c r="AJ185" s="331"/>
      <c r="AK185" s="331"/>
      <c r="AL185" s="331"/>
      <c r="AM185" s="331"/>
      <c r="AN185" s="331"/>
      <c r="AO185" s="331"/>
      <c r="AP185" s="331"/>
      <c r="AQ185" s="331"/>
      <c r="AR185" s="331"/>
      <c r="AS185" s="331"/>
      <c r="AT185" s="331"/>
      <c r="AU185" s="331">
        <f aca="true" t="shared" si="142" ref="AU185:BA185">+($F249/$F$5)</f>
        <v>0</v>
      </c>
      <c r="AV185" s="331">
        <f t="shared" si="142"/>
        <v>0</v>
      </c>
      <c r="AW185" s="331">
        <f t="shared" si="142"/>
        <v>0</v>
      </c>
      <c r="AX185" s="331">
        <f t="shared" si="142"/>
        <v>0</v>
      </c>
      <c r="AY185" s="331">
        <f t="shared" si="142"/>
        <v>0</v>
      </c>
      <c r="AZ185" s="331">
        <f t="shared" si="142"/>
        <v>0</v>
      </c>
      <c r="BA185" s="331">
        <f t="shared" si="142"/>
        <v>0</v>
      </c>
      <c r="BB185" s="331">
        <f aca="true" t="shared" si="143" ref="BB185:BM185">+($F249/$F$5)</f>
        <v>0</v>
      </c>
      <c r="BC185" s="331">
        <f t="shared" si="143"/>
        <v>0</v>
      </c>
      <c r="BD185" s="331">
        <f t="shared" si="143"/>
        <v>0</v>
      </c>
      <c r="BE185" s="331">
        <f t="shared" si="143"/>
        <v>0</v>
      </c>
      <c r="BF185" s="331">
        <f t="shared" si="143"/>
        <v>0</v>
      </c>
      <c r="BG185" s="331">
        <f t="shared" si="143"/>
        <v>0</v>
      </c>
      <c r="BH185" s="331">
        <f t="shared" si="143"/>
        <v>0</v>
      </c>
      <c r="BI185" s="331">
        <f t="shared" si="143"/>
        <v>0</v>
      </c>
      <c r="BJ185" s="331">
        <f t="shared" si="143"/>
        <v>0</v>
      </c>
      <c r="BK185" s="331">
        <f t="shared" si="143"/>
        <v>0</v>
      </c>
      <c r="BL185" s="331">
        <f t="shared" si="143"/>
        <v>0</v>
      </c>
      <c r="BM185" s="331">
        <f t="shared" si="143"/>
        <v>0</v>
      </c>
    </row>
    <row r="186" spans="5:65" ht="15.75">
      <c r="E186" s="416">
        <f t="shared" si="44"/>
        <v>44768</v>
      </c>
      <c r="F186" s="331"/>
      <c r="K186" s="331"/>
      <c r="M186" s="331"/>
      <c r="Y186" s="331"/>
      <c r="Z186" s="331"/>
      <c r="AA186" s="331"/>
      <c r="AB186" s="331"/>
      <c r="AC186" s="331"/>
      <c r="AD186" s="331"/>
      <c r="AE186" s="331"/>
      <c r="AF186" s="331"/>
      <c r="AG186" s="331"/>
      <c r="AH186" s="331"/>
      <c r="AI186" s="331"/>
      <c r="AJ186" s="331"/>
      <c r="AK186" s="331"/>
      <c r="AL186" s="331"/>
      <c r="AM186" s="331"/>
      <c r="AN186" s="331"/>
      <c r="AO186" s="331"/>
      <c r="AP186" s="331"/>
      <c r="AQ186" s="331"/>
      <c r="AR186" s="331"/>
      <c r="AS186" s="331"/>
      <c r="AT186" s="331"/>
      <c r="AU186" s="331"/>
      <c r="AV186" s="331">
        <f aca="true" t="shared" si="144" ref="AV186:BA186">+($F250/$F$5)</f>
        <v>0</v>
      </c>
      <c r="AW186" s="331">
        <f t="shared" si="144"/>
        <v>0</v>
      </c>
      <c r="AX186" s="331">
        <f t="shared" si="144"/>
        <v>0</v>
      </c>
      <c r="AY186" s="331">
        <f t="shared" si="144"/>
        <v>0</v>
      </c>
      <c r="AZ186" s="331">
        <f t="shared" si="144"/>
        <v>0</v>
      </c>
      <c r="BA186" s="331">
        <f t="shared" si="144"/>
        <v>0</v>
      </c>
      <c r="BB186" s="331">
        <f aca="true" t="shared" si="145" ref="BB186:BM186">+($F250/$F$5)</f>
        <v>0</v>
      </c>
      <c r="BC186" s="331">
        <f t="shared" si="145"/>
        <v>0</v>
      </c>
      <c r="BD186" s="331">
        <f t="shared" si="145"/>
        <v>0</v>
      </c>
      <c r="BE186" s="331">
        <f t="shared" si="145"/>
        <v>0</v>
      </c>
      <c r="BF186" s="331">
        <f t="shared" si="145"/>
        <v>0</v>
      </c>
      <c r="BG186" s="331">
        <f t="shared" si="145"/>
        <v>0</v>
      </c>
      <c r="BH186" s="331">
        <f t="shared" si="145"/>
        <v>0</v>
      </c>
      <c r="BI186" s="331">
        <f t="shared" si="145"/>
        <v>0</v>
      </c>
      <c r="BJ186" s="331">
        <f t="shared" si="145"/>
        <v>0</v>
      </c>
      <c r="BK186" s="331">
        <f t="shared" si="145"/>
        <v>0</v>
      </c>
      <c r="BL186" s="331">
        <f t="shared" si="145"/>
        <v>0</v>
      </c>
      <c r="BM186" s="331">
        <f t="shared" si="145"/>
        <v>0</v>
      </c>
    </row>
    <row r="187" spans="5:65" ht="15.75">
      <c r="E187" s="416">
        <f t="shared" si="44"/>
        <v>44799</v>
      </c>
      <c r="F187" s="331"/>
      <c r="K187" s="331"/>
      <c r="M187" s="331"/>
      <c r="Y187" s="331"/>
      <c r="Z187" s="331"/>
      <c r="AA187" s="331"/>
      <c r="AB187" s="331"/>
      <c r="AC187" s="331"/>
      <c r="AD187" s="331"/>
      <c r="AE187" s="331"/>
      <c r="AF187" s="331"/>
      <c r="AG187" s="331"/>
      <c r="AH187" s="331"/>
      <c r="AI187" s="331"/>
      <c r="AJ187" s="331"/>
      <c r="AK187" s="331"/>
      <c r="AL187" s="331"/>
      <c r="AM187" s="331"/>
      <c r="AN187" s="331"/>
      <c r="AO187" s="331"/>
      <c r="AP187" s="331"/>
      <c r="AQ187" s="331"/>
      <c r="AR187" s="331"/>
      <c r="AS187" s="331"/>
      <c r="AT187" s="331"/>
      <c r="AU187" s="331"/>
      <c r="AV187" s="331"/>
      <c r="AW187" s="331">
        <f>+($F251/$F$5)</f>
        <v>0</v>
      </c>
      <c r="AX187" s="331">
        <f>+($F251/$F$5)</f>
        <v>0</v>
      </c>
      <c r="AY187" s="331">
        <f>+($F251/$F$5)</f>
        <v>0</v>
      </c>
      <c r="AZ187" s="331">
        <f>+($F251/$F$5)</f>
        <v>0</v>
      </c>
      <c r="BA187" s="331">
        <f>+($F251/$F$5)</f>
        <v>0</v>
      </c>
      <c r="BB187" s="331">
        <f aca="true" t="shared" si="146" ref="BB187:BM187">+($F251/$F$5)</f>
        <v>0</v>
      </c>
      <c r="BC187" s="331">
        <f t="shared" si="146"/>
        <v>0</v>
      </c>
      <c r="BD187" s="331">
        <f t="shared" si="146"/>
        <v>0</v>
      </c>
      <c r="BE187" s="331">
        <f t="shared" si="146"/>
        <v>0</v>
      </c>
      <c r="BF187" s="331">
        <f t="shared" si="146"/>
        <v>0</v>
      </c>
      <c r="BG187" s="331">
        <f t="shared" si="146"/>
        <v>0</v>
      </c>
      <c r="BH187" s="331">
        <f t="shared" si="146"/>
        <v>0</v>
      </c>
      <c r="BI187" s="331">
        <f t="shared" si="146"/>
        <v>0</v>
      </c>
      <c r="BJ187" s="331">
        <f t="shared" si="146"/>
        <v>0</v>
      </c>
      <c r="BK187" s="331">
        <f t="shared" si="146"/>
        <v>0</v>
      </c>
      <c r="BL187" s="331">
        <f t="shared" si="146"/>
        <v>0</v>
      </c>
      <c r="BM187" s="331">
        <f t="shared" si="146"/>
        <v>0</v>
      </c>
    </row>
    <row r="188" spans="5:65" ht="15.75">
      <c r="E188" s="416">
        <f t="shared" si="44"/>
        <v>44830</v>
      </c>
      <c r="F188" s="331"/>
      <c r="K188" s="331"/>
      <c r="M188" s="331"/>
      <c r="Y188" s="331"/>
      <c r="Z188" s="331"/>
      <c r="AA188" s="331"/>
      <c r="AB188" s="331"/>
      <c r="AC188" s="331"/>
      <c r="AD188" s="331"/>
      <c r="AE188" s="331"/>
      <c r="AF188" s="331"/>
      <c r="AG188" s="331"/>
      <c r="AH188" s="331"/>
      <c r="AI188" s="331"/>
      <c r="AJ188" s="331"/>
      <c r="AK188" s="331"/>
      <c r="AL188" s="331"/>
      <c r="AM188" s="331"/>
      <c r="AN188" s="331"/>
      <c r="AO188" s="331"/>
      <c r="AP188" s="331"/>
      <c r="AQ188" s="331"/>
      <c r="AR188" s="331"/>
      <c r="AS188" s="331"/>
      <c r="AT188" s="331"/>
      <c r="AU188" s="331"/>
      <c r="AV188" s="331"/>
      <c r="AW188" s="331"/>
      <c r="AX188" s="331">
        <f>+($F252/$F$5)</f>
        <v>0</v>
      </c>
      <c r="AY188" s="331">
        <f>+($F252/$F$5)</f>
        <v>0</v>
      </c>
      <c r="AZ188" s="331">
        <f>+($F252/$F$5)</f>
        <v>0</v>
      </c>
      <c r="BA188" s="331">
        <f>+($F252/$F$5)</f>
        <v>0</v>
      </c>
      <c r="BB188" s="331">
        <f aca="true" t="shared" si="147" ref="BB188:BM188">+($F252/$F$5)</f>
        <v>0</v>
      </c>
      <c r="BC188" s="331">
        <f t="shared" si="147"/>
        <v>0</v>
      </c>
      <c r="BD188" s="331">
        <f t="shared" si="147"/>
        <v>0</v>
      </c>
      <c r="BE188" s="331">
        <f t="shared" si="147"/>
        <v>0</v>
      </c>
      <c r="BF188" s="331">
        <f t="shared" si="147"/>
        <v>0</v>
      </c>
      <c r="BG188" s="331">
        <f t="shared" si="147"/>
        <v>0</v>
      </c>
      <c r="BH188" s="331">
        <f t="shared" si="147"/>
        <v>0</v>
      </c>
      <c r="BI188" s="331">
        <f t="shared" si="147"/>
        <v>0</v>
      </c>
      <c r="BJ188" s="331">
        <f t="shared" si="147"/>
        <v>0</v>
      </c>
      <c r="BK188" s="331">
        <f t="shared" si="147"/>
        <v>0</v>
      </c>
      <c r="BL188" s="331">
        <f t="shared" si="147"/>
        <v>0</v>
      </c>
      <c r="BM188" s="331">
        <f t="shared" si="147"/>
        <v>0</v>
      </c>
    </row>
    <row r="189" spans="5:65" ht="15.75">
      <c r="E189" s="416">
        <f t="shared" si="44"/>
        <v>44861</v>
      </c>
      <c r="F189" s="331"/>
      <c r="K189" s="331"/>
      <c r="M189" s="331"/>
      <c r="Y189" s="331"/>
      <c r="Z189" s="331"/>
      <c r="AA189" s="331"/>
      <c r="AB189" s="331"/>
      <c r="AC189" s="331"/>
      <c r="AD189" s="331"/>
      <c r="AE189" s="331"/>
      <c r="AF189" s="331"/>
      <c r="AG189" s="331"/>
      <c r="AH189" s="331"/>
      <c r="AI189" s="331"/>
      <c r="AJ189" s="331"/>
      <c r="AK189" s="331"/>
      <c r="AL189" s="331"/>
      <c r="AM189" s="331"/>
      <c r="AN189" s="331"/>
      <c r="AO189" s="331"/>
      <c r="AP189" s="331"/>
      <c r="AQ189" s="331"/>
      <c r="AR189" s="331"/>
      <c r="AS189" s="331"/>
      <c r="AT189" s="331"/>
      <c r="AU189" s="331"/>
      <c r="AV189" s="331"/>
      <c r="AW189" s="331"/>
      <c r="AX189" s="331"/>
      <c r="AY189" s="331">
        <f>+($F253/$F$5)</f>
        <v>0</v>
      </c>
      <c r="AZ189" s="331">
        <f>+($F253/$F$5)</f>
        <v>0</v>
      </c>
      <c r="BA189" s="331">
        <f>+($F253/$F$5)</f>
        <v>0</v>
      </c>
      <c r="BB189" s="331">
        <f aca="true" t="shared" si="148" ref="BB189:BM189">+($F253/$F$5)</f>
        <v>0</v>
      </c>
      <c r="BC189" s="331">
        <f t="shared" si="148"/>
        <v>0</v>
      </c>
      <c r="BD189" s="331">
        <f t="shared" si="148"/>
        <v>0</v>
      </c>
      <c r="BE189" s="331">
        <f t="shared" si="148"/>
        <v>0</v>
      </c>
      <c r="BF189" s="331">
        <f t="shared" si="148"/>
        <v>0</v>
      </c>
      <c r="BG189" s="331">
        <f t="shared" si="148"/>
        <v>0</v>
      </c>
      <c r="BH189" s="331">
        <f t="shared" si="148"/>
        <v>0</v>
      </c>
      <c r="BI189" s="331">
        <f t="shared" si="148"/>
        <v>0</v>
      </c>
      <c r="BJ189" s="331">
        <f t="shared" si="148"/>
        <v>0</v>
      </c>
      <c r="BK189" s="331">
        <f t="shared" si="148"/>
        <v>0</v>
      </c>
      <c r="BL189" s="331">
        <f t="shared" si="148"/>
        <v>0</v>
      </c>
      <c r="BM189" s="331">
        <f t="shared" si="148"/>
        <v>0</v>
      </c>
    </row>
    <row r="190" spans="5:65" ht="15.75">
      <c r="E190" s="416">
        <f t="shared" si="44"/>
        <v>44892</v>
      </c>
      <c r="F190" s="331"/>
      <c r="K190" s="331"/>
      <c r="M190" s="331"/>
      <c r="Y190" s="331"/>
      <c r="Z190" s="331"/>
      <c r="AA190" s="331"/>
      <c r="AB190" s="331"/>
      <c r="AC190" s="331"/>
      <c r="AD190" s="331"/>
      <c r="AE190" s="331"/>
      <c r="AF190" s="331"/>
      <c r="AG190" s="331"/>
      <c r="AH190" s="331"/>
      <c r="AI190" s="331"/>
      <c r="AJ190" s="331"/>
      <c r="AK190" s="331"/>
      <c r="AL190" s="331"/>
      <c r="AM190" s="331"/>
      <c r="AN190" s="331"/>
      <c r="AO190" s="331"/>
      <c r="AP190" s="331"/>
      <c r="AQ190" s="331"/>
      <c r="AR190" s="331"/>
      <c r="AS190" s="331"/>
      <c r="AT190" s="331"/>
      <c r="AU190" s="331"/>
      <c r="AV190" s="331"/>
      <c r="AW190" s="331"/>
      <c r="AX190" s="331"/>
      <c r="AY190" s="331"/>
      <c r="AZ190" s="331">
        <f>+($F254/$F$5)</f>
        <v>0</v>
      </c>
      <c r="BA190" s="331">
        <f>+($F254/$F$5)</f>
        <v>0</v>
      </c>
      <c r="BB190" s="331">
        <f aca="true" t="shared" si="149" ref="BB190:BM190">+($F254/$F$5)</f>
        <v>0</v>
      </c>
      <c r="BC190" s="331">
        <f t="shared" si="149"/>
        <v>0</v>
      </c>
      <c r="BD190" s="331">
        <f t="shared" si="149"/>
        <v>0</v>
      </c>
      <c r="BE190" s="331">
        <f t="shared" si="149"/>
        <v>0</v>
      </c>
      <c r="BF190" s="331">
        <f t="shared" si="149"/>
        <v>0</v>
      </c>
      <c r="BG190" s="331">
        <f t="shared" si="149"/>
        <v>0</v>
      </c>
      <c r="BH190" s="331">
        <f t="shared" si="149"/>
        <v>0</v>
      </c>
      <c r="BI190" s="331">
        <f t="shared" si="149"/>
        <v>0</v>
      </c>
      <c r="BJ190" s="331">
        <f t="shared" si="149"/>
        <v>0</v>
      </c>
      <c r="BK190" s="331">
        <f t="shared" si="149"/>
        <v>0</v>
      </c>
      <c r="BL190" s="331">
        <f t="shared" si="149"/>
        <v>0</v>
      </c>
      <c r="BM190" s="331">
        <f t="shared" si="149"/>
        <v>0</v>
      </c>
    </row>
    <row r="191" spans="5:65" ht="15.75">
      <c r="E191" s="416">
        <f t="shared" si="44"/>
        <v>44923</v>
      </c>
      <c r="F191" s="331"/>
      <c r="K191" s="331"/>
      <c r="M191" s="331"/>
      <c r="Y191" s="331"/>
      <c r="Z191" s="331"/>
      <c r="AA191" s="331"/>
      <c r="AB191" s="331"/>
      <c r="AC191" s="331"/>
      <c r="AD191" s="331"/>
      <c r="AE191" s="331"/>
      <c r="AF191" s="331"/>
      <c r="AG191" s="331"/>
      <c r="AH191" s="331"/>
      <c r="AI191" s="331"/>
      <c r="AJ191" s="331"/>
      <c r="AK191" s="331"/>
      <c r="AL191" s="331"/>
      <c r="AM191" s="331"/>
      <c r="AN191" s="331"/>
      <c r="AO191" s="331"/>
      <c r="AP191" s="331"/>
      <c r="AQ191" s="331"/>
      <c r="AR191" s="331"/>
      <c r="AS191" s="331"/>
      <c r="AT191" s="331"/>
      <c r="AU191" s="331"/>
      <c r="AV191" s="331"/>
      <c r="AW191" s="331"/>
      <c r="AX191" s="331"/>
      <c r="AY191" s="331"/>
      <c r="AZ191" s="331"/>
      <c r="BA191" s="331">
        <f>+($F255/$F$5)</f>
        <v>0</v>
      </c>
      <c r="BB191" s="331">
        <f aca="true" t="shared" si="150" ref="BB191:BM191">+($F255/$F$5)</f>
        <v>0</v>
      </c>
      <c r="BC191" s="331">
        <f t="shared" si="150"/>
        <v>0</v>
      </c>
      <c r="BD191" s="331">
        <f t="shared" si="150"/>
        <v>0</v>
      </c>
      <c r="BE191" s="331">
        <f t="shared" si="150"/>
        <v>0</v>
      </c>
      <c r="BF191" s="331">
        <f t="shared" si="150"/>
        <v>0</v>
      </c>
      <c r="BG191" s="331">
        <f t="shared" si="150"/>
        <v>0</v>
      </c>
      <c r="BH191" s="331">
        <f t="shared" si="150"/>
        <v>0</v>
      </c>
      <c r="BI191" s="331">
        <f t="shared" si="150"/>
        <v>0</v>
      </c>
      <c r="BJ191" s="331">
        <f t="shared" si="150"/>
        <v>0</v>
      </c>
      <c r="BK191" s="331">
        <f t="shared" si="150"/>
        <v>0</v>
      </c>
      <c r="BL191" s="331">
        <f t="shared" si="150"/>
        <v>0</v>
      </c>
      <c r="BM191" s="331">
        <f t="shared" si="150"/>
        <v>0</v>
      </c>
    </row>
    <row r="192" spans="5:65" ht="15.75">
      <c r="E192" s="416">
        <f t="shared" si="44"/>
        <v>44954</v>
      </c>
      <c r="F192" s="331"/>
      <c r="G192" s="331"/>
      <c r="H192" s="331"/>
      <c r="I192" s="331"/>
      <c r="J192" s="331"/>
      <c r="K192" s="331"/>
      <c r="L192" s="331"/>
      <c r="M192" s="331"/>
      <c r="N192" s="331"/>
      <c r="O192" s="331"/>
      <c r="P192" s="331"/>
      <c r="Q192" s="331"/>
      <c r="R192" s="331"/>
      <c r="S192" s="331"/>
      <c r="T192" s="331"/>
      <c r="U192" s="331"/>
      <c r="V192" s="331"/>
      <c r="W192" s="331"/>
      <c r="X192" s="331"/>
      <c r="Y192" s="331"/>
      <c r="Z192" s="331"/>
      <c r="AA192" s="331"/>
      <c r="AB192" s="331"/>
      <c r="AC192" s="331"/>
      <c r="AD192" s="331"/>
      <c r="AE192" s="331"/>
      <c r="AF192" s="331"/>
      <c r="AG192" s="331"/>
      <c r="AH192" s="331"/>
      <c r="AI192" s="331"/>
      <c r="AJ192" s="331"/>
      <c r="AK192" s="331"/>
      <c r="AL192" s="331"/>
      <c r="AM192" s="331"/>
      <c r="AN192" s="331"/>
      <c r="AO192" s="331"/>
      <c r="AP192" s="331"/>
      <c r="AQ192" s="331"/>
      <c r="AR192" s="331"/>
      <c r="AS192" s="331"/>
      <c r="AT192" s="331"/>
      <c r="AU192" s="331"/>
      <c r="AV192" s="331"/>
      <c r="AW192" s="331"/>
      <c r="AX192" s="331"/>
      <c r="AY192" s="331"/>
      <c r="AZ192" s="331"/>
      <c r="BA192" s="331"/>
      <c r="BB192" s="331">
        <f>+($F256/$F$5)</f>
        <v>0</v>
      </c>
      <c r="BC192" s="331">
        <f aca="true" t="shared" si="151" ref="BC192:BM192">+($F256/$F$5)</f>
        <v>0</v>
      </c>
      <c r="BD192" s="331">
        <f t="shared" si="151"/>
        <v>0</v>
      </c>
      <c r="BE192" s="331">
        <f t="shared" si="151"/>
        <v>0</v>
      </c>
      <c r="BF192" s="331">
        <f t="shared" si="151"/>
        <v>0</v>
      </c>
      <c r="BG192" s="331">
        <f t="shared" si="151"/>
        <v>0</v>
      </c>
      <c r="BH192" s="331">
        <f t="shared" si="151"/>
        <v>0</v>
      </c>
      <c r="BI192" s="331">
        <f t="shared" si="151"/>
        <v>0</v>
      </c>
      <c r="BJ192" s="331">
        <f t="shared" si="151"/>
        <v>0</v>
      </c>
      <c r="BK192" s="331">
        <f t="shared" si="151"/>
        <v>0</v>
      </c>
      <c r="BL192" s="331">
        <f t="shared" si="151"/>
        <v>0</v>
      </c>
      <c r="BM192" s="331">
        <f t="shared" si="151"/>
        <v>0</v>
      </c>
    </row>
    <row r="193" spans="5:65" ht="15.75">
      <c r="E193" s="416">
        <f t="shared" si="44"/>
        <v>44985</v>
      </c>
      <c r="F193" s="331"/>
      <c r="G193" s="331"/>
      <c r="H193" s="331"/>
      <c r="I193" s="331"/>
      <c r="J193" s="331"/>
      <c r="K193" s="331"/>
      <c r="L193" s="331"/>
      <c r="M193" s="331"/>
      <c r="N193" s="331"/>
      <c r="O193" s="331"/>
      <c r="P193" s="331"/>
      <c r="Q193" s="331"/>
      <c r="R193" s="331"/>
      <c r="S193" s="331"/>
      <c r="T193" s="331"/>
      <c r="U193" s="331"/>
      <c r="V193" s="331"/>
      <c r="W193" s="331"/>
      <c r="X193" s="331"/>
      <c r="Y193" s="331"/>
      <c r="Z193" s="331"/>
      <c r="AA193" s="331"/>
      <c r="AB193" s="331"/>
      <c r="AC193" s="331"/>
      <c r="AD193" s="331"/>
      <c r="AE193" s="331"/>
      <c r="AF193" s="331"/>
      <c r="AG193" s="331"/>
      <c r="AH193" s="331"/>
      <c r="AI193" s="331"/>
      <c r="AJ193" s="331"/>
      <c r="AK193" s="331"/>
      <c r="AL193" s="331"/>
      <c r="AM193" s="331"/>
      <c r="AN193" s="331"/>
      <c r="AO193" s="331"/>
      <c r="AP193" s="331"/>
      <c r="AQ193" s="331"/>
      <c r="AR193" s="331"/>
      <c r="AS193" s="331"/>
      <c r="AT193" s="331"/>
      <c r="AU193" s="331"/>
      <c r="AV193" s="331"/>
      <c r="AW193" s="331"/>
      <c r="AX193" s="331"/>
      <c r="AY193" s="331"/>
      <c r="AZ193" s="331"/>
      <c r="BA193" s="331"/>
      <c r="BB193" s="331"/>
      <c r="BC193" s="331">
        <f aca="true" t="shared" si="152" ref="BC193:BM193">+($F257/$F$5)</f>
        <v>0</v>
      </c>
      <c r="BD193" s="331">
        <f t="shared" si="152"/>
        <v>0</v>
      </c>
      <c r="BE193" s="331">
        <f t="shared" si="152"/>
        <v>0</v>
      </c>
      <c r="BF193" s="331">
        <f t="shared" si="152"/>
        <v>0</v>
      </c>
      <c r="BG193" s="331">
        <f t="shared" si="152"/>
        <v>0</v>
      </c>
      <c r="BH193" s="331">
        <f t="shared" si="152"/>
        <v>0</v>
      </c>
      <c r="BI193" s="331">
        <f t="shared" si="152"/>
        <v>0</v>
      </c>
      <c r="BJ193" s="331">
        <f t="shared" si="152"/>
        <v>0</v>
      </c>
      <c r="BK193" s="331">
        <f t="shared" si="152"/>
        <v>0</v>
      </c>
      <c r="BL193" s="331">
        <f t="shared" si="152"/>
        <v>0</v>
      </c>
      <c r="BM193" s="331">
        <f t="shared" si="152"/>
        <v>0</v>
      </c>
    </row>
    <row r="194" spans="5:65" ht="15.75">
      <c r="E194" s="416">
        <f t="shared" si="44"/>
        <v>45016</v>
      </c>
      <c r="F194" s="331"/>
      <c r="G194" s="331"/>
      <c r="H194" s="331"/>
      <c r="I194" s="331"/>
      <c r="J194" s="331"/>
      <c r="K194" s="331"/>
      <c r="L194" s="331"/>
      <c r="M194" s="331"/>
      <c r="N194" s="331"/>
      <c r="O194" s="331"/>
      <c r="P194" s="331"/>
      <c r="Q194" s="331"/>
      <c r="R194" s="331"/>
      <c r="S194" s="331"/>
      <c r="T194" s="331"/>
      <c r="U194" s="331"/>
      <c r="V194" s="331"/>
      <c r="W194" s="331"/>
      <c r="X194" s="331"/>
      <c r="Y194" s="331"/>
      <c r="Z194" s="331"/>
      <c r="AA194" s="331"/>
      <c r="AB194" s="331"/>
      <c r="AC194" s="331"/>
      <c r="AD194" s="331"/>
      <c r="AE194" s="331"/>
      <c r="AF194" s="331"/>
      <c r="AG194" s="331"/>
      <c r="AH194" s="331"/>
      <c r="AI194" s="331"/>
      <c r="AJ194" s="331"/>
      <c r="AK194" s="331"/>
      <c r="AL194" s="331"/>
      <c r="AM194" s="331"/>
      <c r="AN194" s="331"/>
      <c r="AO194" s="331"/>
      <c r="AP194" s="331"/>
      <c r="AQ194" s="331"/>
      <c r="AR194" s="331"/>
      <c r="AS194" s="331"/>
      <c r="AT194" s="331"/>
      <c r="AU194" s="331"/>
      <c r="AV194" s="331"/>
      <c r="AW194" s="331"/>
      <c r="AX194" s="331"/>
      <c r="AY194" s="331"/>
      <c r="AZ194" s="331"/>
      <c r="BA194" s="331"/>
      <c r="BB194" s="331"/>
      <c r="BC194" s="331"/>
      <c r="BD194" s="331">
        <f aca="true" t="shared" si="153" ref="BD194:BM194">+($F258/$F$5)</f>
        <v>0</v>
      </c>
      <c r="BE194" s="331">
        <f t="shared" si="153"/>
        <v>0</v>
      </c>
      <c r="BF194" s="331">
        <f t="shared" si="153"/>
        <v>0</v>
      </c>
      <c r="BG194" s="331">
        <f t="shared" si="153"/>
        <v>0</v>
      </c>
      <c r="BH194" s="331">
        <f t="shared" si="153"/>
        <v>0</v>
      </c>
      <c r="BI194" s="331">
        <f t="shared" si="153"/>
        <v>0</v>
      </c>
      <c r="BJ194" s="331">
        <f t="shared" si="153"/>
        <v>0</v>
      </c>
      <c r="BK194" s="331">
        <f t="shared" si="153"/>
        <v>0</v>
      </c>
      <c r="BL194" s="331">
        <f t="shared" si="153"/>
        <v>0</v>
      </c>
      <c r="BM194" s="331">
        <f t="shared" si="153"/>
        <v>0</v>
      </c>
    </row>
    <row r="195" spans="5:65" ht="15.75">
      <c r="E195" s="416">
        <f>+E194+10</f>
        <v>45026</v>
      </c>
      <c r="F195" s="331"/>
      <c r="G195" s="331"/>
      <c r="H195" s="331"/>
      <c r="I195" s="331"/>
      <c r="J195" s="331"/>
      <c r="K195" s="331"/>
      <c r="L195" s="331"/>
      <c r="M195" s="331"/>
      <c r="N195" s="331"/>
      <c r="O195" s="331"/>
      <c r="P195" s="331"/>
      <c r="Q195" s="331"/>
      <c r="R195" s="331"/>
      <c r="S195" s="331"/>
      <c r="T195" s="331"/>
      <c r="U195" s="331"/>
      <c r="V195" s="331"/>
      <c r="W195" s="331"/>
      <c r="X195" s="331"/>
      <c r="Y195" s="331"/>
      <c r="Z195" s="331"/>
      <c r="AA195" s="331"/>
      <c r="AB195" s="331"/>
      <c r="AC195" s="331"/>
      <c r="AD195" s="331"/>
      <c r="AE195" s="331"/>
      <c r="AF195" s="331"/>
      <c r="AG195" s="331"/>
      <c r="AH195" s="331"/>
      <c r="AI195" s="331"/>
      <c r="AJ195" s="331"/>
      <c r="AK195" s="331"/>
      <c r="AL195" s="331"/>
      <c r="AM195" s="331"/>
      <c r="AN195" s="331"/>
      <c r="AO195" s="331"/>
      <c r="AP195" s="331"/>
      <c r="AQ195" s="331"/>
      <c r="AR195" s="331"/>
      <c r="AS195" s="331"/>
      <c r="AT195" s="331"/>
      <c r="AU195" s="331"/>
      <c r="AV195" s="331"/>
      <c r="AW195" s="331"/>
      <c r="AX195" s="331"/>
      <c r="AY195" s="331"/>
      <c r="AZ195" s="331"/>
      <c r="BA195" s="331"/>
      <c r="BB195" s="331"/>
      <c r="BC195" s="331"/>
      <c r="BD195" s="331"/>
      <c r="BE195" s="331">
        <f aca="true" t="shared" si="154" ref="BE195:BM195">+($F259/$F$5)</f>
        <v>0</v>
      </c>
      <c r="BF195" s="331">
        <f t="shared" si="154"/>
        <v>0</v>
      </c>
      <c r="BG195" s="331">
        <f t="shared" si="154"/>
        <v>0</v>
      </c>
      <c r="BH195" s="331">
        <f t="shared" si="154"/>
        <v>0</v>
      </c>
      <c r="BI195" s="331">
        <f t="shared" si="154"/>
        <v>0</v>
      </c>
      <c r="BJ195" s="331">
        <f t="shared" si="154"/>
        <v>0</v>
      </c>
      <c r="BK195" s="331">
        <f t="shared" si="154"/>
        <v>0</v>
      </c>
      <c r="BL195" s="331">
        <f t="shared" si="154"/>
        <v>0</v>
      </c>
      <c r="BM195" s="331">
        <f t="shared" si="154"/>
        <v>0</v>
      </c>
    </row>
    <row r="196" spans="5:65" ht="15.75">
      <c r="E196" s="416">
        <f t="shared" si="44"/>
        <v>45057</v>
      </c>
      <c r="F196" s="331"/>
      <c r="G196" s="331"/>
      <c r="H196" s="331"/>
      <c r="I196" s="331"/>
      <c r="J196" s="331"/>
      <c r="K196" s="331"/>
      <c r="L196" s="331"/>
      <c r="M196" s="331"/>
      <c r="N196" s="331"/>
      <c r="O196" s="331"/>
      <c r="P196" s="331"/>
      <c r="Q196" s="331"/>
      <c r="R196" s="331"/>
      <c r="S196" s="331"/>
      <c r="T196" s="331"/>
      <c r="U196" s="331"/>
      <c r="V196" s="331"/>
      <c r="W196" s="331"/>
      <c r="X196" s="331"/>
      <c r="Y196" s="331"/>
      <c r="Z196" s="331"/>
      <c r="AA196" s="331"/>
      <c r="AB196" s="331"/>
      <c r="AC196" s="331"/>
      <c r="AD196" s="331"/>
      <c r="AE196" s="331"/>
      <c r="AF196" s="331"/>
      <c r="AG196" s="331"/>
      <c r="AH196" s="331"/>
      <c r="AI196" s="331"/>
      <c r="AJ196" s="331"/>
      <c r="AK196" s="331"/>
      <c r="AL196" s="331"/>
      <c r="AM196" s="331"/>
      <c r="AN196" s="331"/>
      <c r="AO196" s="331"/>
      <c r="AP196" s="331"/>
      <c r="AQ196" s="331"/>
      <c r="AR196" s="331"/>
      <c r="AS196" s="331"/>
      <c r="AT196" s="331"/>
      <c r="AU196" s="331"/>
      <c r="AV196" s="331"/>
      <c r="AW196" s="331"/>
      <c r="AX196" s="331"/>
      <c r="AY196" s="331"/>
      <c r="AZ196" s="331"/>
      <c r="BA196" s="331"/>
      <c r="BB196" s="331"/>
      <c r="BC196" s="331"/>
      <c r="BD196" s="331"/>
      <c r="BE196" s="331"/>
      <c r="BF196" s="331">
        <f aca="true" t="shared" si="155" ref="BF196:BM196">+($F260/$F$5)</f>
        <v>0</v>
      </c>
      <c r="BG196" s="331">
        <f t="shared" si="155"/>
        <v>0</v>
      </c>
      <c r="BH196" s="331">
        <f t="shared" si="155"/>
        <v>0</v>
      </c>
      <c r="BI196" s="331">
        <f t="shared" si="155"/>
        <v>0</v>
      </c>
      <c r="BJ196" s="331">
        <f t="shared" si="155"/>
        <v>0</v>
      </c>
      <c r="BK196" s="331">
        <f t="shared" si="155"/>
        <v>0</v>
      </c>
      <c r="BL196" s="331">
        <f t="shared" si="155"/>
        <v>0</v>
      </c>
      <c r="BM196" s="331">
        <f t="shared" si="155"/>
        <v>0</v>
      </c>
    </row>
    <row r="197" spans="5:65" ht="15.75">
      <c r="E197" s="416">
        <f t="shared" si="44"/>
        <v>45088</v>
      </c>
      <c r="F197" s="331"/>
      <c r="G197" s="331"/>
      <c r="H197" s="331"/>
      <c r="I197" s="331"/>
      <c r="J197" s="331"/>
      <c r="K197" s="331"/>
      <c r="L197" s="331"/>
      <c r="M197" s="331"/>
      <c r="N197" s="331"/>
      <c r="O197" s="331"/>
      <c r="P197" s="331"/>
      <c r="Q197" s="331"/>
      <c r="R197" s="331"/>
      <c r="S197" s="331"/>
      <c r="T197" s="331"/>
      <c r="U197" s="331"/>
      <c r="V197" s="331"/>
      <c r="W197" s="331"/>
      <c r="X197" s="331"/>
      <c r="Y197" s="331"/>
      <c r="Z197" s="331"/>
      <c r="AA197" s="331"/>
      <c r="AB197" s="331"/>
      <c r="AC197" s="331"/>
      <c r="AD197" s="331"/>
      <c r="AE197" s="331"/>
      <c r="AF197" s="331"/>
      <c r="AG197" s="331"/>
      <c r="AH197" s="331"/>
      <c r="AI197" s="331"/>
      <c r="AJ197" s="331"/>
      <c r="AK197" s="331"/>
      <c r="AL197" s="331"/>
      <c r="AM197" s="331"/>
      <c r="AN197" s="331"/>
      <c r="AO197" s="331"/>
      <c r="AP197" s="331"/>
      <c r="AQ197" s="331"/>
      <c r="AR197" s="331"/>
      <c r="AS197" s="331"/>
      <c r="AT197" s="331"/>
      <c r="AU197" s="331"/>
      <c r="AV197" s="331"/>
      <c r="AW197" s="331"/>
      <c r="AX197" s="331"/>
      <c r="AY197" s="331"/>
      <c r="AZ197" s="331"/>
      <c r="BA197" s="331"/>
      <c r="BB197" s="331"/>
      <c r="BC197" s="331"/>
      <c r="BD197" s="331"/>
      <c r="BE197" s="331"/>
      <c r="BF197" s="331"/>
      <c r="BG197" s="331">
        <f aca="true" t="shared" si="156" ref="BG197:BM197">+($F261/$F$5)</f>
        <v>0</v>
      </c>
      <c r="BH197" s="331">
        <f t="shared" si="156"/>
        <v>0</v>
      </c>
      <c r="BI197" s="331">
        <f t="shared" si="156"/>
        <v>0</v>
      </c>
      <c r="BJ197" s="331">
        <f t="shared" si="156"/>
        <v>0</v>
      </c>
      <c r="BK197" s="331">
        <f t="shared" si="156"/>
        <v>0</v>
      </c>
      <c r="BL197" s="331">
        <f t="shared" si="156"/>
        <v>0</v>
      </c>
      <c r="BM197" s="331">
        <f t="shared" si="156"/>
        <v>0</v>
      </c>
    </row>
    <row r="198" spans="5:65" ht="15.75">
      <c r="E198" s="416">
        <f t="shared" si="44"/>
        <v>45119</v>
      </c>
      <c r="F198" s="331"/>
      <c r="G198" s="331"/>
      <c r="H198" s="331"/>
      <c r="I198" s="331"/>
      <c r="J198" s="331"/>
      <c r="K198" s="331"/>
      <c r="L198" s="331"/>
      <c r="M198" s="331"/>
      <c r="N198" s="331"/>
      <c r="O198" s="331"/>
      <c r="P198" s="331"/>
      <c r="Q198" s="331"/>
      <c r="R198" s="331"/>
      <c r="S198" s="331"/>
      <c r="T198" s="331"/>
      <c r="U198" s="331"/>
      <c r="V198" s="331"/>
      <c r="W198" s="331"/>
      <c r="X198" s="331"/>
      <c r="Y198" s="331"/>
      <c r="Z198" s="331"/>
      <c r="AA198" s="331"/>
      <c r="AB198" s="331"/>
      <c r="AC198" s="331"/>
      <c r="AD198" s="331"/>
      <c r="AE198" s="331"/>
      <c r="AF198" s="331"/>
      <c r="AG198" s="331"/>
      <c r="AH198" s="331"/>
      <c r="AI198" s="331"/>
      <c r="AJ198" s="331"/>
      <c r="AK198" s="331"/>
      <c r="AL198" s="331"/>
      <c r="AM198" s="331"/>
      <c r="AN198" s="331"/>
      <c r="AO198" s="331"/>
      <c r="AP198" s="331"/>
      <c r="AQ198" s="331"/>
      <c r="AR198" s="331"/>
      <c r="AS198" s="331"/>
      <c r="AT198" s="331"/>
      <c r="AU198" s="331"/>
      <c r="AV198" s="331"/>
      <c r="AW198" s="331"/>
      <c r="AX198" s="331"/>
      <c r="AY198" s="331"/>
      <c r="AZ198" s="331"/>
      <c r="BA198" s="331"/>
      <c r="BB198" s="331"/>
      <c r="BC198" s="331"/>
      <c r="BD198" s="331"/>
      <c r="BE198" s="331"/>
      <c r="BF198" s="331"/>
      <c r="BG198" s="331"/>
      <c r="BH198" s="331">
        <f aca="true" t="shared" si="157" ref="BH198:BM198">+($F262/$F$5)</f>
        <v>0</v>
      </c>
      <c r="BI198" s="331">
        <f t="shared" si="157"/>
        <v>0</v>
      </c>
      <c r="BJ198" s="331">
        <f t="shared" si="157"/>
        <v>0</v>
      </c>
      <c r="BK198" s="331">
        <f t="shared" si="157"/>
        <v>0</v>
      </c>
      <c r="BL198" s="331">
        <f t="shared" si="157"/>
        <v>0</v>
      </c>
      <c r="BM198" s="331">
        <f t="shared" si="157"/>
        <v>0</v>
      </c>
    </row>
    <row r="199" spans="5:65" ht="15.75">
      <c r="E199" s="416">
        <f t="shared" si="44"/>
        <v>45150</v>
      </c>
      <c r="F199" s="331"/>
      <c r="G199" s="331"/>
      <c r="H199" s="331"/>
      <c r="I199" s="331"/>
      <c r="J199" s="331"/>
      <c r="K199" s="331"/>
      <c r="L199" s="331"/>
      <c r="M199" s="331"/>
      <c r="N199" s="331"/>
      <c r="O199" s="331"/>
      <c r="P199" s="331"/>
      <c r="Q199" s="331"/>
      <c r="R199" s="331"/>
      <c r="S199" s="331"/>
      <c r="T199" s="331"/>
      <c r="U199" s="331"/>
      <c r="V199" s="331"/>
      <c r="W199" s="331"/>
      <c r="X199" s="331"/>
      <c r="Y199" s="331"/>
      <c r="Z199" s="331"/>
      <c r="AA199" s="331"/>
      <c r="AB199" s="331"/>
      <c r="AC199" s="331"/>
      <c r="AD199" s="331"/>
      <c r="AE199" s="331"/>
      <c r="AF199" s="331"/>
      <c r="AG199" s="331"/>
      <c r="AH199" s="331"/>
      <c r="AI199" s="331"/>
      <c r="AJ199" s="331"/>
      <c r="AK199" s="331"/>
      <c r="AL199" s="331"/>
      <c r="AM199" s="331"/>
      <c r="AN199" s="331"/>
      <c r="AO199" s="331"/>
      <c r="AP199" s="331"/>
      <c r="AQ199" s="331"/>
      <c r="AR199" s="331"/>
      <c r="AS199" s="331"/>
      <c r="AT199" s="331"/>
      <c r="AU199" s="331"/>
      <c r="AV199" s="331"/>
      <c r="AW199" s="331"/>
      <c r="AX199" s="331"/>
      <c r="AY199" s="331"/>
      <c r="AZ199" s="331"/>
      <c r="BA199" s="331"/>
      <c r="BB199" s="331"/>
      <c r="BC199" s="331"/>
      <c r="BD199" s="331"/>
      <c r="BE199" s="331"/>
      <c r="BF199" s="331"/>
      <c r="BG199" s="331"/>
      <c r="BH199" s="331"/>
      <c r="BI199" s="331">
        <f aca="true" t="shared" si="158" ref="BI199:BM199">+($F263/$F$5)</f>
        <v>0</v>
      </c>
      <c r="BJ199" s="331">
        <f t="shared" si="158"/>
        <v>0</v>
      </c>
      <c r="BK199" s="331">
        <f t="shared" si="158"/>
        <v>0</v>
      </c>
      <c r="BL199" s="331">
        <f t="shared" si="158"/>
        <v>0</v>
      </c>
      <c r="BM199" s="331">
        <f t="shared" si="158"/>
        <v>0</v>
      </c>
    </row>
    <row r="200" spans="5:65" ht="15.75">
      <c r="E200" s="416">
        <f t="shared" si="44"/>
        <v>45181</v>
      </c>
      <c r="F200" s="331"/>
      <c r="G200" s="331"/>
      <c r="H200" s="331"/>
      <c r="I200" s="331"/>
      <c r="J200" s="331"/>
      <c r="K200" s="331"/>
      <c r="L200" s="331"/>
      <c r="M200" s="331"/>
      <c r="N200" s="331"/>
      <c r="O200" s="331"/>
      <c r="P200" s="331"/>
      <c r="Q200" s="331"/>
      <c r="R200" s="331"/>
      <c r="S200" s="331"/>
      <c r="T200" s="331"/>
      <c r="U200" s="331"/>
      <c r="V200" s="331"/>
      <c r="W200" s="331"/>
      <c r="X200" s="331"/>
      <c r="Y200" s="331"/>
      <c r="Z200" s="331"/>
      <c r="AA200" s="331"/>
      <c r="AB200" s="331"/>
      <c r="AC200" s="331"/>
      <c r="AD200" s="331"/>
      <c r="AE200" s="331"/>
      <c r="AF200" s="331"/>
      <c r="AG200" s="331"/>
      <c r="AH200" s="331"/>
      <c r="AI200" s="331"/>
      <c r="AJ200" s="331"/>
      <c r="AK200" s="331"/>
      <c r="AL200" s="331"/>
      <c r="AM200" s="331"/>
      <c r="AN200" s="331"/>
      <c r="AO200" s="331"/>
      <c r="AP200" s="331"/>
      <c r="AQ200" s="331"/>
      <c r="AR200" s="331"/>
      <c r="AS200" s="331"/>
      <c r="AT200" s="331"/>
      <c r="AU200" s="331"/>
      <c r="AV200" s="331"/>
      <c r="AW200" s="331"/>
      <c r="AX200" s="331"/>
      <c r="AY200" s="331"/>
      <c r="AZ200" s="331"/>
      <c r="BA200" s="331"/>
      <c r="BB200" s="331"/>
      <c r="BC200" s="331"/>
      <c r="BD200" s="331"/>
      <c r="BE200" s="331"/>
      <c r="BF200" s="331"/>
      <c r="BG200" s="331"/>
      <c r="BH200" s="331"/>
      <c r="BI200" s="331"/>
      <c r="BJ200" s="331">
        <f aca="true" t="shared" si="159" ref="BJ200:BM200">+($F264/$F$5)</f>
        <v>0</v>
      </c>
      <c r="BK200" s="331">
        <f t="shared" si="159"/>
        <v>0</v>
      </c>
      <c r="BL200" s="331">
        <f t="shared" si="159"/>
        <v>0</v>
      </c>
      <c r="BM200" s="331">
        <f t="shared" si="159"/>
        <v>0</v>
      </c>
    </row>
    <row r="201" spans="5:65" ht="15.75">
      <c r="E201" s="416">
        <f t="shared" si="44"/>
        <v>45212</v>
      </c>
      <c r="F201" s="331"/>
      <c r="G201" s="331"/>
      <c r="H201" s="331"/>
      <c r="I201" s="331"/>
      <c r="J201" s="331"/>
      <c r="K201" s="331"/>
      <c r="L201" s="331"/>
      <c r="M201" s="331"/>
      <c r="N201" s="331"/>
      <c r="O201" s="331"/>
      <c r="P201" s="331"/>
      <c r="Q201" s="331"/>
      <c r="R201" s="331"/>
      <c r="S201" s="331"/>
      <c r="T201" s="331"/>
      <c r="U201" s="331"/>
      <c r="V201" s="331"/>
      <c r="W201" s="331"/>
      <c r="X201" s="331"/>
      <c r="Y201" s="331"/>
      <c r="Z201" s="331"/>
      <c r="AA201" s="331"/>
      <c r="AB201" s="331"/>
      <c r="AC201" s="331"/>
      <c r="AD201" s="331"/>
      <c r="AE201" s="331"/>
      <c r="AF201" s="331"/>
      <c r="AG201" s="331"/>
      <c r="AH201" s="331"/>
      <c r="AI201" s="331"/>
      <c r="AJ201" s="331"/>
      <c r="AK201" s="331"/>
      <c r="AL201" s="331"/>
      <c r="AM201" s="331"/>
      <c r="AN201" s="331"/>
      <c r="AO201" s="331"/>
      <c r="AP201" s="331"/>
      <c r="AQ201" s="331"/>
      <c r="AR201" s="331"/>
      <c r="AS201" s="331"/>
      <c r="AT201" s="331"/>
      <c r="AU201" s="331"/>
      <c r="AV201" s="331"/>
      <c r="AW201" s="331"/>
      <c r="AX201" s="331"/>
      <c r="AY201" s="331"/>
      <c r="AZ201" s="331"/>
      <c r="BA201" s="331"/>
      <c r="BB201" s="331"/>
      <c r="BC201" s="331"/>
      <c r="BD201" s="331"/>
      <c r="BE201" s="331"/>
      <c r="BF201" s="331"/>
      <c r="BG201" s="331"/>
      <c r="BH201" s="331"/>
      <c r="BI201" s="331"/>
      <c r="BJ201" s="331"/>
      <c r="BK201" s="331">
        <f aca="true" t="shared" si="160" ref="BK201:BM201">+($F265/$F$5)</f>
        <v>0</v>
      </c>
      <c r="BL201" s="331">
        <f t="shared" si="160"/>
        <v>0</v>
      </c>
      <c r="BM201" s="331">
        <f t="shared" si="160"/>
        <v>0</v>
      </c>
    </row>
    <row r="202" spans="5:65" ht="15.75">
      <c r="E202" s="416">
        <f t="shared" si="44"/>
        <v>45243</v>
      </c>
      <c r="F202" s="331"/>
      <c r="G202" s="331"/>
      <c r="H202" s="331"/>
      <c r="I202" s="331"/>
      <c r="J202" s="331"/>
      <c r="K202" s="331"/>
      <c r="L202" s="331"/>
      <c r="M202" s="331"/>
      <c r="N202" s="331"/>
      <c r="O202" s="331"/>
      <c r="P202" s="331"/>
      <c r="Q202" s="331"/>
      <c r="R202" s="331"/>
      <c r="S202" s="331"/>
      <c r="T202" s="331"/>
      <c r="U202" s="331"/>
      <c r="V202" s="331"/>
      <c r="W202" s="331"/>
      <c r="X202" s="331"/>
      <c r="Y202" s="331"/>
      <c r="Z202" s="331"/>
      <c r="AA202" s="331"/>
      <c r="AB202" s="331"/>
      <c r="AC202" s="331"/>
      <c r="AD202" s="331"/>
      <c r="AE202" s="331"/>
      <c r="AF202" s="331"/>
      <c r="AG202" s="331"/>
      <c r="AH202" s="331"/>
      <c r="AI202" s="331"/>
      <c r="AJ202" s="331"/>
      <c r="AK202" s="331"/>
      <c r="AL202" s="331"/>
      <c r="AM202" s="331"/>
      <c r="AN202" s="331"/>
      <c r="AO202" s="331"/>
      <c r="AP202" s="331"/>
      <c r="AQ202" s="331"/>
      <c r="AR202" s="331"/>
      <c r="AS202" s="331"/>
      <c r="AT202" s="331"/>
      <c r="AU202" s="331"/>
      <c r="AV202" s="331"/>
      <c r="AW202" s="331"/>
      <c r="AX202" s="331"/>
      <c r="AY202" s="331"/>
      <c r="AZ202" s="331"/>
      <c r="BA202" s="331"/>
      <c r="BB202" s="331"/>
      <c r="BC202" s="331"/>
      <c r="BD202" s="331"/>
      <c r="BE202" s="331"/>
      <c r="BF202" s="331"/>
      <c r="BG202" s="331"/>
      <c r="BH202" s="331"/>
      <c r="BI202" s="331"/>
      <c r="BJ202" s="331"/>
      <c r="BK202" s="331"/>
      <c r="BL202" s="331">
        <f aca="true" t="shared" si="161" ref="BL202:BM202">+($F266/$F$5)</f>
        <v>0</v>
      </c>
      <c r="BM202" s="331">
        <f t="shared" si="161"/>
        <v>0</v>
      </c>
    </row>
    <row r="203" spans="5:65" ht="15.75">
      <c r="E203" s="416">
        <f t="shared" si="44"/>
        <v>45274</v>
      </c>
      <c r="F203" s="331"/>
      <c r="G203" s="331"/>
      <c r="H203" s="331"/>
      <c r="I203" s="331"/>
      <c r="J203" s="331"/>
      <c r="K203" s="331"/>
      <c r="L203" s="331"/>
      <c r="M203" s="331"/>
      <c r="N203" s="331"/>
      <c r="O203" s="331"/>
      <c r="P203" s="331"/>
      <c r="Q203" s="331"/>
      <c r="R203" s="331"/>
      <c r="S203" s="331"/>
      <c r="T203" s="331"/>
      <c r="U203" s="331"/>
      <c r="V203" s="331"/>
      <c r="W203" s="331"/>
      <c r="X203" s="331"/>
      <c r="Y203" s="331"/>
      <c r="Z203" s="331"/>
      <c r="AA203" s="331"/>
      <c r="AB203" s="331"/>
      <c r="AC203" s="331"/>
      <c r="AD203" s="331"/>
      <c r="AE203" s="331"/>
      <c r="AF203" s="331"/>
      <c r="AG203" s="331"/>
      <c r="AH203" s="331"/>
      <c r="AI203" s="331"/>
      <c r="AJ203" s="331"/>
      <c r="AK203" s="331"/>
      <c r="AL203" s="331"/>
      <c r="AM203" s="331"/>
      <c r="AN203" s="331"/>
      <c r="AO203" s="331"/>
      <c r="AP203" s="331"/>
      <c r="AQ203" s="331"/>
      <c r="AR203" s="331"/>
      <c r="AS203" s="331"/>
      <c r="AT203" s="331"/>
      <c r="AU203" s="331"/>
      <c r="AV203" s="331"/>
      <c r="AW203" s="331"/>
      <c r="AX203" s="331"/>
      <c r="AY203" s="331"/>
      <c r="AZ203" s="331"/>
      <c r="BA203" s="331"/>
      <c r="BB203" s="331"/>
      <c r="BC203" s="331"/>
      <c r="BD203" s="331"/>
      <c r="BE203" s="331"/>
      <c r="BF203" s="331"/>
      <c r="BG203" s="331"/>
      <c r="BH203" s="331"/>
      <c r="BI203" s="331"/>
      <c r="BJ203" s="331"/>
      <c r="BK203" s="331"/>
      <c r="BL203" s="331"/>
      <c r="BM203" s="331">
        <f aca="true" t="shared" si="162" ref="BM203">+($F267/$F$5)</f>
        <v>0</v>
      </c>
    </row>
    <row r="204" ht="15.75">
      <c r="AC204" s="331"/>
    </row>
    <row r="206" ht="16.2" thickBot="1"/>
    <row r="207" spans="5:65" ht="16.2" thickBot="1">
      <c r="E207" s="418" t="s">
        <v>207</v>
      </c>
      <c r="F207" s="416">
        <v>43466</v>
      </c>
      <c r="G207" s="416">
        <f>+F207+31</f>
        <v>43497</v>
      </c>
      <c r="H207" s="416">
        <f aca="true" t="shared" si="163" ref="H207:AC207">+G207+31</f>
        <v>43528</v>
      </c>
      <c r="I207" s="416">
        <f t="shared" si="163"/>
        <v>43559</v>
      </c>
      <c r="J207" s="416">
        <f t="shared" si="163"/>
        <v>43590</v>
      </c>
      <c r="K207" s="416">
        <f t="shared" si="163"/>
        <v>43621</v>
      </c>
      <c r="L207" s="416">
        <f t="shared" si="163"/>
        <v>43652</v>
      </c>
      <c r="M207" s="416">
        <f t="shared" si="163"/>
        <v>43683</v>
      </c>
      <c r="N207" s="416">
        <f t="shared" si="163"/>
        <v>43714</v>
      </c>
      <c r="O207" s="416">
        <f t="shared" si="163"/>
        <v>43745</v>
      </c>
      <c r="P207" s="416">
        <f t="shared" si="163"/>
        <v>43776</v>
      </c>
      <c r="Q207" s="416">
        <f t="shared" si="163"/>
        <v>43807</v>
      </c>
      <c r="R207" s="416">
        <f t="shared" si="163"/>
        <v>43838</v>
      </c>
      <c r="S207" s="416">
        <f t="shared" si="163"/>
        <v>43869</v>
      </c>
      <c r="T207" s="416">
        <f t="shared" si="163"/>
        <v>43900</v>
      </c>
      <c r="U207" s="416">
        <f t="shared" si="163"/>
        <v>43931</v>
      </c>
      <c r="V207" s="416">
        <f t="shared" si="163"/>
        <v>43962</v>
      </c>
      <c r="W207" s="416">
        <f t="shared" si="163"/>
        <v>43993</v>
      </c>
      <c r="X207" s="416">
        <f t="shared" si="163"/>
        <v>44024</v>
      </c>
      <c r="Y207" s="416">
        <f t="shared" si="163"/>
        <v>44055</v>
      </c>
      <c r="Z207" s="416">
        <f t="shared" si="163"/>
        <v>44086</v>
      </c>
      <c r="AA207" s="416">
        <f t="shared" si="163"/>
        <v>44117</v>
      </c>
      <c r="AB207" s="416">
        <f t="shared" si="163"/>
        <v>44148</v>
      </c>
      <c r="AC207" s="416">
        <f t="shared" si="163"/>
        <v>44179</v>
      </c>
      <c r="AD207" s="416">
        <f aca="true" t="shared" si="164" ref="AD207:AU207">+AC207+31</f>
        <v>44210</v>
      </c>
      <c r="AE207" s="416">
        <f t="shared" si="164"/>
        <v>44241</v>
      </c>
      <c r="AF207" s="416">
        <f t="shared" si="164"/>
        <v>44272</v>
      </c>
      <c r="AG207" s="416">
        <f t="shared" si="164"/>
        <v>44303</v>
      </c>
      <c r="AH207" s="416">
        <f t="shared" si="164"/>
        <v>44334</v>
      </c>
      <c r="AI207" s="416">
        <f t="shared" si="164"/>
        <v>44365</v>
      </c>
      <c r="AJ207" s="416">
        <f t="shared" si="164"/>
        <v>44396</v>
      </c>
      <c r="AK207" s="416">
        <f t="shared" si="164"/>
        <v>44427</v>
      </c>
      <c r="AL207" s="416">
        <f t="shared" si="164"/>
        <v>44458</v>
      </c>
      <c r="AM207" s="416">
        <f t="shared" si="164"/>
        <v>44489</v>
      </c>
      <c r="AN207" s="416">
        <f t="shared" si="164"/>
        <v>44520</v>
      </c>
      <c r="AO207" s="416">
        <f t="shared" si="164"/>
        <v>44551</v>
      </c>
      <c r="AP207" s="416">
        <f t="shared" si="164"/>
        <v>44582</v>
      </c>
      <c r="AQ207" s="416">
        <f t="shared" si="164"/>
        <v>44613</v>
      </c>
      <c r="AR207" s="416">
        <f t="shared" si="164"/>
        <v>44644</v>
      </c>
      <c r="AS207" s="416">
        <f t="shared" si="164"/>
        <v>44675</v>
      </c>
      <c r="AT207" s="416">
        <f t="shared" si="164"/>
        <v>44706</v>
      </c>
      <c r="AU207" s="416">
        <f t="shared" si="164"/>
        <v>44737</v>
      </c>
      <c r="AV207" s="416">
        <f aca="true" t="shared" si="165" ref="AV207:AX207">+AU207+31</f>
        <v>44768</v>
      </c>
      <c r="AW207" s="416">
        <f t="shared" si="165"/>
        <v>44799</v>
      </c>
      <c r="AX207" s="416">
        <f t="shared" si="165"/>
        <v>44830</v>
      </c>
      <c r="AY207" s="416">
        <f aca="true" t="shared" si="166" ref="AY207:BA207">+AX207+31</f>
        <v>44861</v>
      </c>
      <c r="AZ207" s="416">
        <f t="shared" si="166"/>
        <v>44892</v>
      </c>
      <c r="BA207" s="416">
        <f t="shared" si="166"/>
        <v>44923</v>
      </c>
      <c r="BB207" s="416">
        <f aca="true" t="shared" si="167" ref="BB207">+BA207+31</f>
        <v>44954</v>
      </c>
      <c r="BC207" s="416">
        <f aca="true" t="shared" si="168" ref="BC207">+BB207+31</f>
        <v>44985</v>
      </c>
      <c r="BD207" s="416">
        <f aca="true" t="shared" si="169" ref="BD207">+BC207+31</f>
        <v>45016</v>
      </c>
      <c r="BE207" s="416">
        <f>+BD207+10</f>
        <v>45026</v>
      </c>
      <c r="BF207" s="416">
        <f aca="true" t="shared" si="170" ref="BF207">+BE207+31</f>
        <v>45057</v>
      </c>
      <c r="BG207" s="416">
        <f aca="true" t="shared" si="171" ref="BG207">+BF207+31</f>
        <v>45088</v>
      </c>
      <c r="BH207" s="416">
        <f aca="true" t="shared" si="172" ref="BH207">+BG207+31</f>
        <v>45119</v>
      </c>
      <c r="BI207" s="416">
        <f aca="true" t="shared" si="173" ref="BI207">+BH207+31</f>
        <v>45150</v>
      </c>
      <c r="BJ207" s="416">
        <f aca="true" t="shared" si="174" ref="BJ207">+BI207+31</f>
        <v>45181</v>
      </c>
      <c r="BK207" s="416">
        <f aca="true" t="shared" si="175" ref="BK207">+BJ207+31</f>
        <v>45212</v>
      </c>
      <c r="BL207" s="416">
        <f aca="true" t="shared" si="176" ref="BL207">+BK207+31</f>
        <v>45243</v>
      </c>
      <c r="BM207" s="416">
        <f aca="true" t="shared" si="177" ref="BM207">+BL207+31</f>
        <v>45274</v>
      </c>
    </row>
    <row r="208" spans="4:65" s="5" customFormat="1" ht="15.75">
      <c r="D208" s="417"/>
      <c r="E208" s="416">
        <v>43466</v>
      </c>
      <c r="F208" s="417">
        <f>+WC!F44</f>
        <v>0</v>
      </c>
      <c r="G208" s="417">
        <f>+WC!G44</f>
        <v>0</v>
      </c>
      <c r="H208" s="417">
        <f>+WC!H44</f>
        <v>0</v>
      </c>
      <c r="I208" s="417">
        <f>+WC!I44</f>
        <v>0</v>
      </c>
      <c r="J208" s="417">
        <f>+WC!J44</f>
        <v>0</v>
      </c>
      <c r="K208" s="417">
        <f>+WC!K44</f>
        <v>0</v>
      </c>
      <c r="L208" s="417">
        <f>+WC!L44</f>
        <v>0</v>
      </c>
      <c r="M208" s="417">
        <f>+WC!M44</f>
        <v>0</v>
      </c>
      <c r="N208" s="417">
        <f>+WC!N44</f>
        <v>0</v>
      </c>
      <c r="O208" s="417">
        <f>+WC!O44</f>
        <v>0</v>
      </c>
      <c r="P208" s="417">
        <f>+WC!P44</f>
        <v>0</v>
      </c>
      <c r="Q208" s="417">
        <f>+WC!Q44</f>
        <v>0</v>
      </c>
      <c r="R208" s="417">
        <f>+WC!R44</f>
        <v>0</v>
      </c>
      <c r="S208" s="417">
        <f>+WC!S44</f>
        <v>0</v>
      </c>
      <c r="T208" s="417">
        <f>+WC!T44</f>
        <v>0</v>
      </c>
      <c r="U208" s="417">
        <f>+WC!U44</f>
        <v>0</v>
      </c>
      <c r="V208" s="417">
        <f>+WC!V44</f>
        <v>0</v>
      </c>
      <c r="W208" s="417">
        <f>+WC!W44</f>
        <v>0</v>
      </c>
      <c r="X208" s="417">
        <f>+WC!X44</f>
        <v>0</v>
      </c>
      <c r="Y208" s="417">
        <f>+WC!Y44</f>
        <v>0</v>
      </c>
      <c r="Z208" s="417">
        <f>+WC!Z44</f>
        <v>0</v>
      </c>
      <c r="AA208" s="417">
        <f>+WC!AA44</f>
        <v>0</v>
      </c>
      <c r="AB208" s="417">
        <f>+WC!AB44</f>
        <v>0</v>
      </c>
      <c r="AC208" s="417">
        <f>+WC!AC44</f>
        <v>0</v>
      </c>
      <c r="AD208" s="417">
        <f>+WC!AD44</f>
        <v>0</v>
      </c>
      <c r="AE208" s="417">
        <f>+WC!AE44</f>
        <v>0</v>
      </c>
      <c r="AF208" s="417">
        <f>+WC!AF44</f>
        <v>0</v>
      </c>
      <c r="AG208" s="417">
        <f>+WC!AG44</f>
        <v>0</v>
      </c>
      <c r="AH208" s="417">
        <f>+WC!AH44</f>
        <v>0</v>
      </c>
      <c r="AI208" s="417">
        <f>+WC!AI44</f>
        <v>0</v>
      </c>
      <c r="AJ208" s="417">
        <f>+WC!AJ44</f>
        <v>0</v>
      </c>
      <c r="AK208" s="417">
        <f>+WC!AK44</f>
        <v>0</v>
      </c>
      <c r="AL208" s="417">
        <f>+WC!AL44</f>
        <v>0</v>
      </c>
      <c r="AM208" s="417">
        <f>+WC!AM44</f>
        <v>0</v>
      </c>
      <c r="AN208" s="417">
        <f>+WC!AN44</f>
        <v>0</v>
      </c>
      <c r="AO208" s="417">
        <f>+WC!AO44</f>
        <v>0</v>
      </c>
      <c r="AP208" s="417">
        <f>+WC!AP44</f>
        <v>0</v>
      </c>
      <c r="AQ208" s="417">
        <f>+WC!AQ44</f>
        <v>0</v>
      </c>
      <c r="AR208" s="417">
        <f>+WC!AR44</f>
        <v>0</v>
      </c>
      <c r="AS208" s="417">
        <f>+WC!AS44</f>
        <v>0</v>
      </c>
      <c r="AT208" s="417">
        <f>+WC!AT44</f>
        <v>0</v>
      </c>
      <c r="AU208" s="417">
        <f>+WC!AU44</f>
        <v>0</v>
      </c>
      <c r="AV208" s="417">
        <f>+WC!AV44</f>
        <v>0</v>
      </c>
      <c r="AW208" s="417">
        <f>+WC!AW44</f>
        <v>0</v>
      </c>
      <c r="AX208" s="417">
        <f>+WC!AX44</f>
        <v>0</v>
      </c>
      <c r="AY208" s="417">
        <f>+WC!AY44</f>
        <v>0</v>
      </c>
      <c r="AZ208" s="417">
        <f>+WC!AZ44</f>
        <v>0</v>
      </c>
      <c r="BA208" s="417">
        <f>+WC!BA44</f>
        <v>0</v>
      </c>
      <c r="BB208" s="417">
        <f>+WC!BB44</f>
        <v>0</v>
      </c>
      <c r="BC208" s="417">
        <f>+WC!BC44</f>
        <v>0</v>
      </c>
      <c r="BD208" s="417">
        <f>+WC!BD44</f>
        <v>0</v>
      </c>
      <c r="BE208" s="417">
        <f>+WC!BE44</f>
        <v>0</v>
      </c>
      <c r="BF208" s="417">
        <f>+WC!BF44</f>
        <v>0</v>
      </c>
      <c r="BG208" s="417">
        <f>+WC!BG44</f>
        <v>0</v>
      </c>
      <c r="BH208" s="417">
        <f>+WC!BH44</f>
        <v>0</v>
      </c>
      <c r="BI208" s="417">
        <f>+WC!BI44</f>
        <v>0</v>
      </c>
      <c r="BJ208" s="417">
        <f>+WC!BJ44</f>
        <v>0</v>
      </c>
      <c r="BK208" s="417">
        <f>+WC!BK44</f>
        <v>0</v>
      </c>
      <c r="BL208" s="417">
        <f>+WC!BL44</f>
        <v>0</v>
      </c>
      <c r="BM208" s="417">
        <f>+WC!BM44</f>
        <v>0</v>
      </c>
    </row>
    <row r="209" spans="5:6" ht="15.75">
      <c r="E209" s="416">
        <f>+E208+31</f>
        <v>43497</v>
      </c>
      <c r="F209" s="417">
        <f>+G208</f>
        <v>0</v>
      </c>
    </row>
    <row r="210" spans="5:6" ht="15.75">
      <c r="E210" s="416">
        <f aca="true" t="shared" si="178" ref="E210:E231">+E209+31</f>
        <v>43528</v>
      </c>
      <c r="F210" s="417">
        <f>+H208</f>
        <v>0</v>
      </c>
    </row>
    <row r="211" spans="5:6" ht="15.75">
      <c r="E211" s="416">
        <f t="shared" si="178"/>
        <v>43559</v>
      </c>
      <c r="F211" s="417">
        <f>+I208</f>
        <v>0</v>
      </c>
    </row>
    <row r="212" spans="5:6" ht="15.75">
      <c r="E212" s="416">
        <f t="shared" si="178"/>
        <v>43590</v>
      </c>
      <c r="F212" s="417">
        <f>+J208</f>
        <v>0</v>
      </c>
    </row>
    <row r="213" spans="5:6" ht="15.75">
      <c r="E213" s="416">
        <f t="shared" si="178"/>
        <v>43621</v>
      </c>
      <c r="F213" s="417">
        <f>+K208</f>
        <v>0</v>
      </c>
    </row>
    <row r="214" spans="5:6" ht="15.75">
      <c r="E214" s="416">
        <f t="shared" si="178"/>
        <v>43652</v>
      </c>
      <c r="F214" s="417">
        <f>+L208</f>
        <v>0</v>
      </c>
    </row>
    <row r="215" spans="5:6" ht="15.75">
      <c r="E215" s="416">
        <f t="shared" si="178"/>
        <v>43683</v>
      </c>
      <c r="F215" s="417">
        <f>+M208</f>
        <v>0</v>
      </c>
    </row>
    <row r="216" spans="5:6" ht="15.75">
      <c r="E216" s="416">
        <f t="shared" si="178"/>
        <v>43714</v>
      </c>
      <c r="F216" s="417">
        <f>+N208</f>
        <v>0</v>
      </c>
    </row>
    <row r="217" spans="5:6" ht="15.75">
      <c r="E217" s="416">
        <f t="shared" si="178"/>
        <v>43745</v>
      </c>
      <c r="F217" s="417">
        <f>+O208</f>
        <v>0</v>
      </c>
    </row>
    <row r="218" spans="5:6" ht="15.75">
      <c r="E218" s="416">
        <f t="shared" si="178"/>
        <v>43776</v>
      </c>
      <c r="F218" s="417">
        <f>+P208</f>
        <v>0</v>
      </c>
    </row>
    <row r="219" spans="5:6" ht="15.75">
      <c r="E219" s="416">
        <f t="shared" si="178"/>
        <v>43807</v>
      </c>
      <c r="F219" s="417">
        <f>+Q208</f>
        <v>0</v>
      </c>
    </row>
    <row r="220" spans="5:6" ht="15.75">
      <c r="E220" s="416">
        <f t="shared" si="178"/>
        <v>43838</v>
      </c>
      <c r="F220" s="417">
        <f>+R208</f>
        <v>0</v>
      </c>
    </row>
    <row r="221" spans="5:6" ht="15.75">
      <c r="E221" s="416">
        <f t="shared" si="178"/>
        <v>43869</v>
      </c>
      <c r="F221" s="417">
        <f>+S208</f>
        <v>0</v>
      </c>
    </row>
    <row r="222" spans="5:6" ht="15.75">
      <c r="E222" s="416">
        <f t="shared" si="178"/>
        <v>43900</v>
      </c>
      <c r="F222" s="417">
        <f>+T208</f>
        <v>0</v>
      </c>
    </row>
    <row r="223" spans="5:6" ht="15.75">
      <c r="E223" s="416">
        <f t="shared" si="178"/>
        <v>43931</v>
      </c>
      <c r="F223" s="417">
        <f>+U208</f>
        <v>0</v>
      </c>
    </row>
    <row r="224" spans="5:6" ht="15.75">
      <c r="E224" s="416">
        <f t="shared" si="178"/>
        <v>43962</v>
      </c>
      <c r="F224" s="417">
        <f>+V208</f>
        <v>0</v>
      </c>
    </row>
    <row r="225" spans="5:6" ht="15.75">
      <c r="E225" s="416">
        <f t="shared" si="178"/>
        <v>43993</v>
      </c>
      <c r="F225" s="417">
        <f>+W208</f>
        <v>0</v>
      </c>
    </row>
    <row r="226" spans="5:6" ht="15.75">
      <c r="E226" s="416">
        <f t="shared" si="178"/>
        <v>44024</v>
      </c>
      <c r="F226" s="417">
        <f>+X208</f>
        <v>0</v>
      </c>
    </row>
    <row r="227" spans="5:6" ht="15.75">
      <c r="E227" s="416">
        <f t="shared" si="178"/>
        <v>44055</v>
      </c>
      <c r="F227" s="417">
        <f>+Y208</f>
        <v>0</v>
      </c>
    </row>
    <row r="228" spans="5:6" ht="15.75">
      <c r="E228" s="416">
        <f t="shared" si="178"/>
        <v>44086</v>
      </c>
      <c r="F228" s="417">
        <f>+Z208</f>
        <v>0</v>
      </c>
    </row>
    <row r="229" spans="5:6" ht="15.75">
      <c r="E229" s="416">
        <f t="shared" si="178"/>
        <v>44117</v>
      </c>
      <c r="F229" s="417">
        <f>+AA208</f>
        <v>0</v>
      </c>
    </row>
    <row r="230" spans="5:6" ht="15.75">
      <c r="E230" s="416">
        <f t="shared" si="178"/>
        <v>44148</v>
      </c>
      <c r="F230" s="417">
        <f>+AB208</f>
        <v>0</v>
      </c>
    </row>
    <row r="231" spans="5:6" ht="15.75">
      <c r="E231" s="416">
        <f t="shared" si="178"/>
        <v>44179</v>
      </c>
      <c r="F231" s="417">
        <f>+AC208</f>
        <v>0</v>
      </c>
    </row>
    <row r="232" spans="5:6" ht="15.75">
      <c r="E232" s="416">
        <f aca="true" t="shared" si="179" ref="E232:E267">+E231+31</f>
        <v>44210</v>
      </c>
      <c r="F232" s="417">
        <f>+AD208</f>
        <v>0</v>
      </c>
    </row>
    <row r="233" spans="5:6" ht="15.75">
      <c r="E233" s="416">
        <f t="shared" si="179"/>
        <v>44241</v>
      </c>
      <c r="F233" s="417">
        <f>+AE208</f>
        <v>0</v>
      </c>
    </row>
    <row r="234" spans="5:6" ht="15.75">
      <c r="E234" s="416">
        <f t="shared" si="179"/>
        <v>44272</v>
      </c>
      <c r="F234" s="417">
        <f>+AF208</f>
        <v>0</v>
      </c>
    </row>
    <row r="235" spans="5:6" ht="15.75">
      <c r="E235" s="416">
        <f t="shared" si="179"/>
        <v>44303</v>
      </c>
      <c r="F235" s="417">
        <f>+AG208</f>
        <v>0</v>
      </c>
    </row>
    <row r="236" spans="5:6" ht="15.75">
      <c r="E236" s="416">
        <f t="shared" si="179"/>
        <v>44334</v>
      </c>
      <c r="F236" s="417">
        <f>+AH208</f>
        <v>0</v>
      </c>
    </row>
    <row r="237" spans="5:6" ht="15.75">
      <c r="E237" s="416">
        <f t="shared" si="179"/>
        <v>44365</v>
      </c>
      <c r="F237" s="417">
        <f>+AI208</f>
        <v>0</v>
      </c>
    </row>
    <row r="238" spans="5:6" ht="15.75">
      <c r="E238" s="416">
        <f t="shared" si="179"/>
        <v>44396</v>
      </c>
      <c r="F238" s="417">
        <f>+AJ208</f>
        <v>0</v>
      </c>
    </row>
    <row r="239" spans="5:6" ht="15.75">
      <c r="E239" s="416">
        <f t="shared" si="179"/>
        <v>44427</v>
      </c>
      <c r="F239" s="417">
        <f>+AK208</f>
        <v>0</v>
      </c>
    </row>
    <row r="240" spans="5:6" ht="15.75">
      <c r="E240" s="416">
        <f t="shared" si="179"/>
        <v>44458</v>
      </c>
      <c r="F240" s="417">
        <f>+AL208</f>
        <v>0</v>
      </c>
    </row>
    <row r="241" spans="5:6" ht="15.75">
      <c r="E241" s="416">
        <f t="shared" si="179"/>
        <v>44489</v>
      </c>
      <c r="F241" s="417">
        <f>+AM208</f>
        <v>0</v>
      </c>
    </row>
    <row r="242" spans="5:6" ht="15.75">
      <c r="E242" s="416">
        <f t="shared" si="179"/>
        <v>44520</v>
      </c>
      <c r="F242" s="417">
        <f>+AN208</f>
        <v>0</v>
      </c>
    </row>
    <row r="243" spans="5:6" ht="15.75">
      <c r="E243" s="416">
        <f t="shared" si="179"/>
        <v>44551</v>
      </c>
      <c r="F243" s="417">
        <f>+AO208</f>
        <v>0</v>
      </c>
    </row>
    <row r="244" spans="5:6" ht="15.75">
      <c r="E244" s="416">
        <f t="shared" si="179"/>
        <v>44582</v>
      </c>
      <c r="F244" s="417">
        <f>+AP208</f>
        <v>0</v>
      </c>
    </row>
    <row r="245" spans="5:6" ht="15.75">
      <c r="E245" s="416">
        <f t="shared" si="179"/>
        <v>44613</v>
      </c>
      <c r="F245" s="417">
        <f>+AQ208</f>
        <v>0</v>
      </c>
    </row>
    <row r="246" spans="5:6" ht="15.75">
      <c r="E246" s="416">
        <f t="shared" si="179"/>
        <v>44644</v>
      </c>
      <c r="F246" s="417">
        <f>+AR208</f>
        <v>0</v>
      </c>
    </row>
    <row r="247" spans="5:6" ht="15.75">
      <c r="E247" s="416">
        <f t="shared" si="179"/>
        <v>44675</v>
      </c>
      <c r="F247" s="417">
        <f>+AS208</f>
        <v>0</v>
      </c>
    </row>
    <row r="248" spans="5:6" ht="15.75">
      <c r="E248" s="416">
        <f t="shared" si="179"/>
        <v>44706</v>
      </c>
      <c r="F248" s="417">
        <f>+AT208</f>
        <v>0</v>
      </c>
    </row>
    <row r="249" spans="5:6" ht="15.75">
      <c r="E249" s="416">
        <f t="shared" si="179"/>
        <v>44737</v>
      </c>
      <c r="F249" s="417">
        <f>+AU208</f>
        <v>0</v>
      </c>
    </row>
    <row r="250" spans="5:6" ht="15.75">
      <c r="E250" s="416">
        <f t="shared" si="179"/>
        <v>44768</v>
      </c>
      <c r="F250" s="417">
        <f>+AV208</f>
        <v>0</v>
      </c>
    </row>
    <row r="251" spans="5:6" ht="15.75">
      <c r="E251" s="416">
        <f t="shared" si="179"/>
        <v>44799</v>
      </c>
      <c r="F251" s="417">
        <f>+AW208</f>
        <v>0</v>
      </c>
    </row>
    <row r="252" spans="5:6" ht="15.75">
      <c r="E252" s="416">
        <f t="shared" si="179"/>
        <v>44830</v>
      </c>
      <c r="F252" s="417">
        <f>+AX208</f>
        <v>0</v>
      </c>
    </row>
    <row r="253" spans="5:6" ht="15.75">
      <c r="E253" s="416">
        <f t="shared" si="179"/>
        <v>44861</v>
      </c>
      <c r="F253" s="417">
        <f>+AY208</f>
        <v>0</v>
      </c>
    </row>
    <row r="254" spans="5:6" ht="15.75">
      <c r="E254" s="416">
        <f t="shared" si="179"/>
        <v>44892</v>
      </c>
      <c r="F254" s="417">
        <f>+AZ208</f>
        <v>0</v>
      </c>
    </row>
    <row r="255" spans="5:6" ht="15.75">
      <c r="E255" s="416">
        <f t="shared" si="179"/>
        <v>44923</v>
      </c>
      <c r="F255" s="417">
        <f>+BA208</f>
        <v>0</v>
      </c>
    </row>
    <row r="256" spans="5:65" ht="15.75">
      <c r="E256" s="416">
        <f t="shared" si="179"/>
        <v>44954</v>
      </c>
      <c r="F256" s="417">
        <f>+BB208</f>
        <v>0</v>
      </c>
      <c r="G256" s="331"/>
      <c r="H256" s="331"/>
      <c r="I256" s="331"/>
      <c r="J256" s="331"/>
      <c r="K256" s="331"/>
      <c r="L256" s="331"/>
      <c r="M256" s="331"/>
      <c r="N256" s="331"/>
      <c r="O256" s="331"/>
      <c r="P256" s="331"/>
      <c r="Q256" s="331"/>
      <c r="R256" s="331"/>
      <c r="S256" s="331"/>
      <c r="T256" s="331"/>
      <c r="U256" s="331"/>
      <c r="V256" s="331"/>
      <c r="W256" s="331"/>
      <c r="X256" s="331"/>
      <c r="Y256" s="331"/>
      <c r="Z256" s="331"/>
      <c r="AA256" s="331"/>
      <c r="AB256" s="331"/>
      <c r="AC256" s="331"/>
      <c r="AD256" s="331"/>
      <c r="AE256" s="331"/>
      <c r="AF256" s="331"/>
      <c r="AG256" s="331"/>
      <c r="AH256" s="331"/>
      <c r="AI256" s="331"/>
      <c r="AJ256" s="331"/>
      <c r="AK256" s="331"/>
      <c r="AL256" s="331"/>
      <c r="AM256" s="331"/>
      <c r="AN256" s="331"/>
      <c r="AO256" s="331"/>
      <c r="AP256" s="331"/>
      <c r="AQ256" s="331"/>
      <c r="AR256" s="331"/>
      <c r="AS256" s="331"/>
      <c r="AT256" s="331"/>
      <c r="AU256" s="331"/>
      <c r="AV256" s="331"/>
      <c r="AW256" s="331"/>
      <c r="AX256" s="331"/>
      <c r="AY256" s="331"/>
      <c r="AZ256" s="331"/>
      <c r="BA256" s="331"/>
      <c r="BB256" s="331"/>
      <c r="BC256" s="331"/>
      <c r="BD256" s="331"/>
      <c r="BE256" s="331"/>
      <c r="BF256" s="331"/>
      <c r="BG256" s="331"/>
      <c r="BH256" s="331"/>
      <c r="BI256" s="331"/>
      <c r="BJ256" s="331"/>
      <c r="BK256" s="331"/>
      <c r="BL256" s="331"/>
      <c r="BM256" s="331"/>
    </row>
    <row r="257" spans="5:65" ht="15.75">
      <c r="E257" s="416">
        <f t="shared" si="179"/>
        <v>44985</v>
      </c>
      <c r="F257" s="417">
        <f>+BC208</f>
        <v>0</v>
      </c>
      <c r="G257" s="331"/>
      <c r="H257" s="331"/>
      <c r="I257" s="331"/>
      <c r="J257" s="331"/>
      <c r="K257" s="331"/>
      <c r="L257" s="331"/>
      <c r="M257" s="331"/>
      <c r="N257" s="331"/>
      <c r="O257" s="331"/>
      <c r="P257" s="331"/>
      <c r="Q257" s="331"/>
      <c r="R257" s="331"/>
      <c r="S257" s="331"/>
      <c r="T257" s="331"/>
      <c r="U257" s="331"/>
      <c r="V257" s="331"/>
      <c r="W257" s="331"/>
      <c r="X257" s="331"/>
      <c r="Y257" s="331"/>
      <c r="Z257" s="331"/>
      <c r="AA257" s="331"/>
      <c r="AB257" s="331"/>
      <c r="AC257" s="331"/>
      <c r="AD257" s="331"/>
      <c r="AE257" s="331"/>
      <c r="AF257" s="331"/>
      <c r="AG257" s="331"/>
      <c r="AH257" s="331"/>
      <c r="AI257" s="331"/>
      <c r="AJ257" s="331"/>
      <c r="AK257" s="331"/>
      <c r="AL257" s="331"/>
      <c r="AM257" s="331"/>
      <c r="AN257" s="331"/>
      <c r="AO257" s="331"/>
      <c r="AP257" s="331"/>
      <c r="AQ257" s="331"/>
      <c r="AR257" s="331"/>
      <c r="AS257" s="331"/>
      <c r="AT257" s="331"/>
      <c r="AU257" s="331"/>
      <c r="AV257" s="331"/>
      <c r="AW257" s="331"/>
      <c r="AX257" s="331"/>
      <c r="AY257" s="331"/>
      <c r="AZ257" s="331"/>
      <c r="BA257" s="331"/>
      <c r="BB257" s="331"/>
      <c r="BC257" s="331"/>
      <c r="BD257" s="331"/>
      <c r="BE257" s="331"/>
      <c r="BF257" s="331"/>
      <c r="BG257" s="331"/>
      <c r="BH257" s="331"/>
      <c r="BI257" s="331"/>
      <c r="BJ257" s="331"/>
      <c r="BK257" s="331"/>
      <c r="BL257" s="331"/>
      <c r="BM257" s="331"/>
    </row>
    <row r="258" spans="5:65" ht="15.75">
      <c r="E258" s="416">
        <f t="shared" si="179"/>
        <v>45016</v>
      </c>
      <c r="F258" s="417">
        <f>+BD208</f>
        <v>0</v>
      </c>
      <c r="G258" s="331"/>
      <c r="H258" s="331"/>
      <c r="I258" s="331"/>
      <c r="J258" s="331"/>
      <c r="K258" s="331"/>
      <c r="L258" s="331"/>
      <c r="M258" s="331"/>
      <c r="N258" s="331"/>
      <c r="O258" s="331"/>
      <c r="P258" s="331"/>
      <c r="Q258" s="331"/>
      <c r="R258" s="331"/>
      <c r="S258" s="331"/>
      <c r="T258" s="331"/>
      <c r="U258" s="331"/>
      <c r="V258" s="331"/>
      <c r="W258" s="331"/>
      <c r="X258" s="331"/>
      <c r="Y258" s="331"/>
      <c r="Z258" s="331"/>
      <c r="AA258" s="331"/>
      <c r="AB258" s="331"/>
      <c r="AC258" s="331"/>
      <c r="AD258" s="331"/>
      <c r="AE258" s="331"/>
      <c r="AF258" s="331"/>
      <c r="AG258" s="331"/>
      <c r="AH258" s="331"/>
      <c r="AI258" s="331"/>
      <c r="AJ258" s="331"/>
      <c r="AK258" s="331"/>
      <c r="AL258" s="331"/>
      <c r="AM258" s="331"/>
      <c r="AN258" s="331"/>
      <c r="AO258" s="331"/>
      <c r="AP258" s="331"/>
      <c r="AQ258" s="331"/>
      <c r="AR258" s="331"/>
      <c r="AS258" s="331"/>
      <c r="AT258" s="331"/>
      <c r="AU258" s="331"/>
      <c r="AV258" s="331"/>
      <c r="AW258" s="331"/>
      <c r="AX258" s="331"/>
      <c r="AY258" s="331"/>
      <c r="AZ258" s="331"/>
      <c r="BA258" s="331"/>
      <c r="BB258" s="331"/>
      <c r="BC258" s="331"/>
      <c r="BD258" s="331"/>
      <c r="BE258" s="331"/>
      <c r="BF258" s="331"/>
      <c r="BG258" s="331"/>
      <c r="BH258" s="331"/>
      <c r="BI258" s="331"/>
      <c r="BJ258" s="331"/>
      <c r="BK258" s="331"/>
      <c r="BL258" s="331"/>
      <c r="BM258" s="331"/>
    </row>
    <row r="259" spans="5:65" ht="15.75">
      <c r="E259" s="416">
        <f>+E258+10</f>
        <v>45026</v>
      </c>
      <c r="F259" s="417">
        <f>+BE208</f>
        <v>0</v>
      </c>
      <c r="G259" s="331"/>
      <c r="H259" s="331"/>
      <c r="I259" s="331"/>
      <c r="J259" s="331"/>
      <c r="K259" s="331"/>
      <c r="L259" s="331"/>
      <c r="M259" s="331"/>
      <c r="N259" s="331"/>
      <c r="O259" s="331"/>
      <c r="P259" s="331"/>
      <c r="Q259" s="331"/>
      <c r="R259" s="331"/>
      <c r="S259" s="331"/>
      <c r="T259" s="331"/>
      <c r="U259" s="331"/>
      <c r="V259" s="331"/>
      <c r="W259" s="331"/>
      <c r="X259" s="331"/>
      <c r="Y259" s="331"/>
      <c r="Z259" s="331"/>
      <c r="AA259" s="331"/>
      <c r="AB259" s="331"/>
      <c r="AC259" s="331"/>
      <c r="AD259" s="331"/>
      <c r="AE259" s="331"/>
      <c r="AF259" s="331"/>
      <c r="AG259" s="331"/>
      <c r="AH259" s="331"/>
      <c r="AI259" s="331"/>
      <c r="AJ259" s="331"/>
      <c r="AK259" s="331"/>
      <c r="AL259" s="331"/>
      <c r="AM259" s="331"/>
      <c r="AN259" s="331"/>
      <c r="AO259" s="331"/>
      <c r="AP259" s="331"/>
      <c r="AQ259" s="331"/>
      <c r="AR259" s="331"/>
      <c r="AS259" s="331"/>
      <c r="AT259" s="331"/>
      <c r="AU259" s="331"/>
      <c r="AV259" s="331"/>
      <c r="AW259" s="331"/>
      <c r="AX259" s="331"/>
      <c r="AY259" s="331"/>
      <c r="AZ259" s="331"/>
      <c r="BA259" s="331"/>
      <c r="BB259" s="331"/>
      <c r="BC259" s="331"/>
      <c r="BD259" s="331"/>
      <c r="BE259" s="331"/>
      <c r="BF259" s="331"/>
      <c r="BG259" s="331"/>
      <c r="BH259" s="331"/>
      <c r="BI259" s="331"/>
      <c r="BJ259" s="331"/>
      <c r="BK259" s="331"/>
      <c r="BL259" s="331"/>
      <c r="BM259" s="331"/>
    </row>
    <row r="260" spans="5:65" ht="15.75">
      <c r="E260" s="416">
        <f t="shared" si="179"/>
        <v>45057</v>
      </c>
      <c r="F260" s="417">
        <f>+BF208</f>
        <v>0</v>
      </c>
      <c r="G260" s="331"/>
      <c r="H260" s="331"/>
      <c r="I260" s="331"/>
      <c r="J260" s="331"/>
      <c r="K260" s="331"/>
      <c r="L260" s="331"/>
      <c r="M260" s="331"/>
      <c r="N260" s="331"/>
      <c r="O260" s="331"/>
      <c r="P260" s="331"/>
      <c r="Q260" s="331"/>
      <c r="R260" s="331"/>
      <c r="S260" s="331"/>
      <c r="T260" s="331"/>
      <c r="U260" s="331"/>
      <c r="V260" s="331"/>
      <c r="W260" s="331"/>
      <c r="X260" s="331"/>
      <c r="Y260" s="331"/>
      <c r="Z260" s="331"/>
      <c r="AA260" s="331"/>
      <c r="AB260" s="331"/>
      <c r="AC260" s="331"/>
      <c r="AD260" s="331"/>
      <c r="AE260" s="331"/>
      <c r="AF260" s="331"/>
      <c r="AG260" s="331"/>
      <c r="AH260" s="331"/>
      <c r="AI260" s="331"/>
      <c r="AJ260" s="331"/>
      <c r="AK260" s="331"/>
      <c r="AL260" s="331"/>
      <c r="AM260" s="331"/>
      <c r="AN260" s="331"/>
      <c r="AO260" s="331"/>
      <c r="AP260" s="331"/>
      <c r="AQ260" s="331"/>
      <c r="AR260" s="331"/>
      <c r="AS260" s="331"/>
      <c r="AT260" s="331"/>
      <c r="AU260" s="331"/>
      <c r="AV260" s="331"/>
      <c r="AW260" s="331"/>
      <c r="AX260" s="331"/>
      <c r="AY260" s="331"/>
      <c r="AZ260" s="331"/>
      <c r="BA260" s="331"/>
      <c r="BB260" s="331"/>
      <c r="BC260" s="331"/>
      <c r="BD260" s="331"/>
      <c r="BE260" s="331"/>
      <c r="BF260" s="331"/>
      <c r="BG260" s="331"/>
      <c r="BH260" s="331"/>
      <c r="BI260" s="331"/>
      <c r="BJ260" s="331"/>
      <c r="BK260" s="331"/>
      <c r="BL260" s="331"/>
      <c r="BM260" s="331"/>
    </row>
    <row r="261" spans="5:65" ht="15.75">
      <c r="E261" s="416">
        <f t="shared" si="179"/>
        <v>45088</v>
      </c>
      <c r="F261" s="417">
        <f>+BG208</f>
        <v>0</v>
      </c>
      <c r="G261" s="331"/>
      <c r="H261" s="331"/>
      <c r="I261" s="331"/>
      <c r="J261" s="331"/>
      <c r="K261" s="331"/>
      <c r="L261" s="331"/>
      <c r="M261" s="331"/>
      <c r="N261" s="331"/>
      <c r="O261" s="331"/>
      <c r="P261" s="331"/>
      <c r="Q261" s="331"/>
      <c r="R261" s="331"/>
      <c r="S261" s="331"/>
      <c r="T261" s="331"/>
      <c r="U261" s="331"/>
      <c r="V261" s="331"/>
      <c r="W261" s="331"/>
      <c r="X261" s="331"/>
      <c r="Y261" s="331"/>
      <c r="Z261" s="331"/>
      <c r="AA261" s="331"/>
      <c r="AB261" s="331"/>
      <c r="AC261" s="331"/>
      <c r="AD261" s="331"/>
      <c r="AE261" s="331"/>
      <c r="AF261" s="331"/>
      <c r="AG261" s="331"/>
      <c r="AH261" s="331"/>
      <c r="AI261" s="331"/>
      <c r="AJ261" s="331"/>
      <c r="AK261" s="331"/>
      <c r="AL261" s="331"/>
      <c r="AM261" s="331"/>
      <c r="AN261" s="331"/>
      <c r="AO261" s="331"/>
      <c r="AP261" s="331"/>
      <c r="AQ261" s="331"/>
      <c r="AR261" s="331"/>
      <c r="AS261" s="331"/>
      <c r="AT261" s="331"/>
      <c r="AU261" s="331"/>
      <c r="AV261" s="331"/>
      <c r="AW261" s="331"/>
      <c r="AX261" s="331"/>
      <c r="AY261" s="331"/>
      <c r="AZ261" s="331"/>
      <c r="BA261" s="331"/>
      <c r="BB261" s="331"/>
      <c r="BC261" s="331"/>
      <c r="BD261" s="331"/>
      <c r="BE261" s="331"/>
      <c r="BF261" s="331"/>
      <c r="BG261" s="331"/>
      <c r="BH261" s="331"/>
      <c r="BI261" s="331"/>
      <c r="BJ261" s="331"/>
      <c r="BK261" s="331"/>
      <c r="BL261" s="331"/>
      <c r="BM261" s="331"/>
    </row>
    <row r="262" spans="5:65" ht="15.75">
      <c r="E262" s="416">
        <f t="shared" si="179"/>
        <v>45119</v>
      </c>
      <c r="F262" s="417">
        <f>+BH208</f>
        <v>0</v>
      </c>
      <c r="G262" s="331"/>
      <c r="H262" s="331"/>
      <c r="I262" s="331"/>
      <c r="J262" s="331"/>
      <c r="K262" s="331"/>
      <c r="L262" s="331"/>
      <c r="M262" s="331"/>
      <c r="N262" s="331"/>
      <c r="O262" s="331"/>
      <c r="P262" s="331"/>
      <c r="Q262" s="331"/>
      <c r="R262" s="331"/>
      <c r="S262" s="331"/>
      <c r="T262" s="331"/>
      <c r="U262" s="331"/>
      <c r="V262" s="331"/>
      <c r="W262" s="331"/>
      <c r="X262" s="331"/>
      <c r="Y262" s="331"/>
      <c r="Z262" s="331"/>
      <c r="AA262" s="331"/>
      <c r="AB262" s="331"/>
      <c r="AC262" s="331"/>
      <c r="AD262" s="331"/>
      <c r="AE262" s="331"/>
      <c r="AF262" s="331"/>
      <c r="AG262" s="331"/>
      <c r="AH262" s="331"/>
      <c r="AI262" s="331"/>
      <c r="AJ262" s="331"/>
      <c r="AK262" s="331"/>
      <c r="AL262" s="331"/>
      <c r="AM262" s="331"/>
      <c r="AN262" s="331"/>
      <c r="AO262" s="331"/>
      <c r="AP262" s="331"/>
      <c r="AQ262" s="331"/>
      <c r="AR262" s="331"/>
      <c r="AS262" s="331"/>
      <c r="AT262" s="331"/>
      <c r="AU262" s="331"/>
      <c r="AV262" s="331"/>
      <c r="AW262" s="331"/>
      <c r="AX262" s="331"/>
      <c r="AY262" s="331"/>
      <c r="AZ262" s="331"/>
      <c r="BA262" s="331"/>
      <c r="BB262" s="331"/>
      <c r="BC262" s="331"/>
      <c r="BD262" s="331"/>
      <c r="BE262" s="331"/>
      <c r="BF262" s="331"/>
      <c r="BG262" s="331"/>
      <c r="BH262" s="331"/>
      <c r="BI262" s="331"/>
      <c r="BJ262" s="331"/>
      <c r="BK262" s="331"/>
      <c r="BL262" s="331"/>
      <c r="BM262" s="331"/>
    </row>
    <row r="263" spans="5:65" ht="15.75">
      <c r="E263" s="416">
        <f t="shared" si="179"/>
        <v>45150</v>
      </c>
      <c r="F263" s="417">
        <f>+BI208</f>
        <v>0</v>
      </c>
      <c r="G263" s="331"/>
      <c r="H263" s="331"/>
      <c r="I263" s="331"/>
      <c r="J263" s="331"/>
      <c r="K263" s="331"/>
      <c r="L263" s="331"/>
      <c r="M263" s="331"/>
      <c r="N263" s="331"/>
      <c r="O263" s="331"/>
      <c r="P263" s="331"/>
      <c r="Q263" s="331"/>
      <c r="R263" s="331"/>
      <c r="S263" s="331"/>
      <c r="T263" s="331"/>
      <c r="U263" s="331"/>
      <c r="V263" s="331"/>
      <c r="W263" s="331"/>
      <c r="X263" s="331"/>
      <c r="Y263" s="331"/>
      <c r="Z263" s="331"/>
      <c r="AA263" s="331"/>
      <c r="AB263" s="331"/>
      <c r="AC263" s="331"/>
      <c r="AD263" s="331"/>
      <c r="AE263" s="331"/>
      <c r="AF263" s="331"/>
      <c r="AG263" s="331"/>
      <c r="AH263" s="331"/>
      <c r="AI263" s="331"/>
      <c r="AJ263" s="331"/>
      <c r="AK263" s="331"/>
      <c r="AL263" s="331"/>
      <c r="AM263" s="331"/>
      <c r="AN263" s="331"/>
      <c r="AO263" s="331"/>
      <c r="AP263" s="331"/>
      <c r="AQ263" s="331"/>
      <c r="AR263" s="331"/>
      <c r="AS263" s="331"/>
      <c r="AT263" s="331"/>
      <c r="AU263" s="331"/>
      <c r="AV263" s="331"/>
      <c r="AW263" s="331"/>
      <c r="AX263" s="331"/>
      <c r="AY263" s="331"/>
      <c r="AZ263" s="331"/>
      <c r="BA263" s="331"/>
      <c r="BB263" s="331"/>
      <c r="BC263" s="331"/>
      <c r="BD263" s="331"/>
      <c r="BE263" s="331"/>
      <c r="BF263" s="331"/>
      <c r="BG263" s="331"/>
      <c r="BH263" s="331"/>
      <c r="BI263" s="331"/>
      <c r="BJ263" s="331"/>
      <c r="BK263" s="331"/>
      <c r="BL263" s="331"/>
      <c r="BM263" s="331"/>
    </row>
    <row r="264" spans="5:65" ht="15.75">
      <c r="E264" s="416">
        <f t="shared" si="179"/>
        <v>45181</v>
      </c>
      <c r="F264" s="417">
        <f>+BJ208</f>
        <v>0</v>
      </c>
      <c r="G264" s="331"/>
      <c r="H264" s="331"/>
      <c r="I264" s="331"/>
      <c r="J264" s="331"/>
      <c r="K264" s="331"/>
      <c r="L264" s="331"/>
      <c r="M264" s="331"/>
      <c r="N264" s="331"/>
      <c r="O264" s="331"/>
      <c r="P264" s="331"/>
      <c r="Q264" s="331"/>
      <c r="R264" s="331"/>
      <c r="S264" s="331"/>
      <c r="T264" s="331"/>
      <c r="U264" s="331"/>
      <c r="V264" s="331"/>
      <c r="W264" s="331"/>
      <c r="X264" s="331"/>
      <c r="Y264" s="331"/>
      <c r="Z264" s="331"/>
      <c r="AA264" s="331"/>
      <c r="AB264" s="331"/>
      <c r="AC264" s="331"/>
      <c r="AD264" s="331"/>
      <c r="AE264" s="331"/>
      <c r="AF264" s="331"/>
      <c r="AG264" s="331"/>
      <c r="AH264" s="331"/>
      <c r="AI264" s="331"/>
      <c r="AJ264" s="331"/>
      <c r="AK264" s="331"/>
      <c r="AL264" s="331"/>
      <c r="AM264" s="331"/>
      <c r="AN264" s="331"/>
      <c r="AO264" s="331"/>
      <c r="AP264" s="331"/>
      <c r="AQ264" s="331"/>
      <c r="AR264" s="331"/>
      <c r="AS264" s="331"/>
      <c r="AT264" s="331"/>
      <c r="AU264" s="331"/>
      <c r="AV264" s="331"/>
      <c r="AW264" s="331"/>
      <c r="AX264" s="331"/>
      <c r="AY264" s="331"/>
      <c r="AZ264" s="331"/>
      <c r="BA264" s="331"/>
      <c r="BB264" s="331"/>
      <c r="BC264" s="331"/>
      <c r="BD264" s="331"/>
      <c r="BE264" s="331"/>
      <c r="BF264" s="331"/>
      <c r="BG264" s="331"/>
      <c r="BH264" s="331"/>
      <c r="BI264" s="331"/>
      <c r="BJ264" s="331"/>
      <c r="BK264" s="331"/>
      <c r="BL264" s="331"/>
      <c r="BM264" s="331"/>
    </row>
    <row r="265" spans="5:65" ht="15.75">
      <c r="E265" s="416">
        <f t="shared" si="179"/>
        <v>45212</v>
      </c>
      <c r="F265" s="417">
        <f>+BK208</f>
        <v>0</v>
      </c>
      <c r="G265" s="331"/>
      <c r="H265" s="331"/>
      <c r="I265" s="331"/>
      <c r="J265" s="331"/>
      <c r="K265" s="331"/>
      <c r="L265" s="331"/>
      <c r="M265" s="331"/>
      <c r="N265" s="331"/>
      <c r="O265" s="331"/>
      <c r="P265" s="331"/>
      <c r="Q265" s="331"/>
      <c r="R265" s="331"/>
      <c r="S265" s="331"/>
      <c r="T265" s="331"/>
      <c r="U265" s="331"/>
      <c r="V265" s="331"/>
      <c r="W265" s="331"/>
      <c r="X265" s="331"/>
      <c r="Y265" s="331"/>
      <c r="Z265" s="331"/>
      <c r="AA265" s="331"/>
      <c r="AB265" s="331"/>
      <c r="AC265" s="331"/>
      <c r="AD265" s="331"/>
      <c r="AE265" s="331"/>
      <c r="AF265" s="331"/>
      <c r="AG265" s="331"/>
      <c r="AH265" s="331"/>
      <c r="AI265" s="331"/>
      <c r="AJ265" s="331"/>
      <c r="AK265" s="331"/>
      <c r="AL265" s="331"/>
      <c r="AM265" s="331"/>
      <c r="AN265" s="331"/>
      <c r="AO265" s="331"/>
      <c r="AP265" s="331"/>
      <c r="AQ265" s="331"/>
      <c r="AR265" s="331"/>
      <c r="AS265" s="331"/>
      <c r="AT265" s="331"/>
      <c r="AU265" s="331"/>
      <c r="AV265" s="331"/>
      <c r="AW265" s="331"/>
      <c r="AX265" s="331"/>
      <c r="AY265" s="331"/>
      <c r="AZ265" s="331"/>
      <c r="BA265" s="331"/>
      <c r="BB265" s="331"/>
      <c r="BC265" s="331"/>
      <c r="BD265" s="331"/>
      <c r="BE265" s="331"/>
      <c r="BF265" s="331"/>
      <c r="BG265" s="331"/>
      <c r="BH265" s="331"/>
      <c r="BI265" s="331"/>
      <c r="BJ265" s="331"/>
      <c r="BK265" s="331"/>
      <c r="BL265" s="331"/>
      <c r="BM265" s="331"/>
    </row>
    <row r="266" spans="5:65" ht="15.75">
      <c r="E266" s="416">
        <f t="shared" si="179"/>
        <v>45243</v>
      </c>
      <c r="F266" s="417">
        <f>+BL208</f>
        <v>0</v>
      </c>
      <c r="G266" s="331"/>
      <c r="H266" s="331"/>
      <c r="I266" s="331"/>
      <c r="J266" s="331"/>
      <c r="K266" s="331"/>
      <c r="L266" s="331"/>
      <c r="M266" s="331"/>
      <c r="N266" s="331"/>
      <c r="O266" s="331"/>
      <c r="P266" s="331"/>
      <c r="Q266" s="331"/>
      <c r="R266" s="331"/>
      <c r="S266" s="331"/>
      <c r="T266" s="331"/>
      <c r="U266" s="331"/>
      <c r="V266" s="331"/>
      <c r="W266" s="331"/>
      <c r="X266" s="331"/>
      <c r="Y266" s="331"/>
      <c r="Z266" s="331"/>
      <c r="AA266" s="331"/>
      <c r="AB266" s="331"/>
      <c r="AC266" s="331"/>
      <c r="AD266" s="331"/>
      <c r="AE266" s="331"/>
      <c r="AF266" s="331"/>
      <c r="AG266" s="331"/>
      <c r="AH266" s="331"/>
      <c r="AI266" s="331"/>
      <c r="AJ266" s="331"/>
      <c r="AK266" s="331"/>
      <c r="AL266" s="331"/>
      <c r="AM266" s="331"/>
      <c r="AN266" s="331"/>
      <c r="AO266" s="331"/>
      <c r="AP266" s="331"/>
      <c r="AQ266" s="331"/>
      <c r="AR266" s="331"/>
      <c r="AS266" s="331"/>
      <c r="AT266" s="331"/>
      <c r="AU266" s="331"/>
      <c r="AV266" s="331"/>
      <c r="AW266" s="331"/>
      <c r="AX266" s="331"/>
      <c r="AY266" s="331"/>
      <c r="AZ266" s="331"/>
      <c r="BA266" s="331"/>
      <c r="BB266" s="331"/>
      <c r="BC266" s="331"/>
      <c r="BD266" s="331"/>
      <c r="BE266" s="331"/>
      <c r="BF266" s="331"/>
      <c r="BG266" s="331"/>
      <c r="BH266" s="331"/>
      <c r="BI266" s="331"/>
      <c r="BJ266" s="331"/>
      <c r="BK266" s="331"/>
      <c r="BL266" s="331"/>
      <c r="BM266" s="331"/>
    </row>
    <row r="267" spans="5:65" ht="15.75">
      <c r="E267" s="416">
        <f t="shared" si="179"/>
        <v>45274</v>
      </c>
      <c r="F267" s="417">
        <f>+BM208</f>
        <v>0</v>
      </c>
      <c r="G267" s="331"/>
      <c r="H267" s="331"/>
      <c r="I267" s="331"/>
      <c r="J267" s="331"/>
      <c r="K267" s="331"/>
      <c r="L267" s="331"/>
      <c r="M267" s="331"/>
      <c r="N267" s="331"/>
      <c r="O267" s="331"/>
      <c r="P267" s="331"/>
      <c r="Q267" s="331"/>
      <c r="R267" s="331"/>
      <c r="S267" s="331"/>
      <c r="T267" s="331"/>
      <c r="U267" s="331"/>
      <c r="V267" s="331"/>
      <c r="W267" s="331"/>
      <c r="X267" s="331"/>
      <c r="Y267" s="331"/>
      <c r="Z267" s="331"/>
      <c r="AA267" s="331"/>
      <c r="AB267" s="331"/>
      <c r="AC267" s="331"/>
      <c r="AD267" s="331"/>
      <c r="AE267" s="331"/>
      <c r="AF267" s="331"/>
      <c r="AG267" s="331"/>
      <c r="AH267" s="331"/>
      <c r="AI267" s="331"/>
      <c r="AJ267" s="331"/>
      <c r="AK267" s="331"/>
      <c r="AL267" s="331"/>
      <c r="AM267" s="331"/>
      <c r="AN267" s="331"/>
      <c r="AO267" s="331"/>
      <c r="AP267" s="331"/>
      <c r="AQ267" s="331"/>
      <c r="AR267" s="331"/>
      <c r="AS267" s="331"/>
      <c r="AT267" s="331"/>
      <c r="AU267" s="331"/>
      <c r="AV267" s="331"/>
      <c r="AW267" s="331"/>
      <c r="AX267" s="331"/>
      <c r="AY267" s="331"/>
      <c r="AZ267" s="331"/>
      <c r="BA267" s="331"/>
      <c r="BB267" s="331"/>
      <c r="BC267" s="331"/>
      <c r="BD267" s="331"/>
      <c r="BE267" s="331"/>
      <c r="BF267" s="331"/>
      <c r="BG267" s="331"/>
      <c r="BH267" s="331"/>
      <c r="BI267" s="331"/>
      <c r="BJ267" s="331"/>
      <c r="BK267" s="331"/>
      <c r="BL267" s="331"/>
      <c r="BM267" s="331"/>
    </row>
    <row r="268" spans="5:6" ht="15.75">
      <c r="E268" s="416"/>
      <c r="F268" s="331"/>
    </row>
    <row r="269" spans="5:6" ht="15.75">
      <c r="E269" s="416"/>
      <c r="F269" s="331"/>
    </row>
    <row r="270" spans="5:6" s="424" customFormat="1" ht="16.2" thickBot="1">
      <c r="E270" s="422"/>
      <c r="F270" s="423"/>
    </row>
    <row r="271" spans="5:6" ht="16.2" thickTop="1">
      <c r="E271" s="416"/>
      <c r="F271" s="331"/>
    </row>
    <row r="273" spans="6:65" s="113" customFormat="1" ht="36" customHeight="1">
      <c r="F273" s="416">
        <v>43466</v>
      </c>
      <c r="G273" s="416">
        <f>+F273+31</f>
        <v>43497</v>
      </c>
      <c r="H273" s="416">
        <f aca="true" t="shared" si="180" ref="H273:BA273">+G273+31</f>
        <v>43528</v>
      </c>
      <c r="I273" s="416">
        <f t="shared" si="180"/>
        <v>43559</v>
      </c>
      <c r="J273" s="416">
        <f t="shared" si="180"/>
        <v>43590</v>
      </c>
      <c r="K273" s="416">
        <f t="shared" si="180"/>
        <v>43621</v>
      </c>
      <c r="L273" s="416">
        <f t="shared" si="180"/>
        <v>43652</v>
      </c>
      <c r="M273" s="416">
        <f t="shared" si="180"/>
        <v>43683</v>
      </c>
      <c r="N273" s="416">
        <f t="shared" si="180"/>
        <v>43714</v>
      </c>
      <c r="O273" s="416">
        <f t="shared" si="180"/>
        <v>43745</v>
      </c>
      <c r="P273" s="416">
        <f t="shared" si="180"/>
        <v>43776</v>
      </c>
      <c r="Q273" s="416">
        <f t="shared" si="180"/>
        <v>43807</v>
      </c>
      <c r="R273" s="416">
        <f t="shared" si="180"/>
        <v>43838</v>
      </c>
      <c r="S273" s="416">
        <f t="shared" si="180"/>
        <v>43869</v>
      </c>
      <c r="T273" s="416">
        <f t="shared" si="180"/>
        <v>43900</v>
      </c>
      <c r="U273" s="416">
        <f t="shared" si="180"/>
        <v>43931</v>
      </c>
      <c r="V273" s="416">
        <f t="shared" si="180"/>
        <v>43962</v>
      </c>
      <c r="W273" s="416">
        <f t="shared" si="180"/>
        <v>43993</v>
      </c>
      <c r="X273" s="416">
        <f t="shared" si="180"/>
        <v>44024</v>
      </c>
      <c r="Y273" s="416">
        <f t="shared" si="180"/>
        <v>44055</v>
      </c>
      <c r="Z273" s="416">
        <f t="shared" si="180"/>
        <v>44086</v>
      </c>
      <c r="AA273" s="416">
        <f t="shared" si="180"/>
        <v>44117</v>
      </c>
      <c r="AB273" s="416">
        <f t="shared" si="180"/>
        <v>44148</v>
      </c>
      <c r="AC273" s="416">
        <f t="shared" si="180"/>
        <v>44179</v>
      </c>
      <c r="AD273" s="416">
        <f t="shared" si="180"/>
        <v>44210</v>
      </c>
      <c r="AE273" s="416">
        <f t="shared" si="180"/>
        <v>44241</v>
      </c>
      <c r="AF273" s="416">
        <f t="shared" si="180"/>
        <v>44272</v>
      </c>
      <c r="AG273" s="416">
        <f t="shared" si="180"/>
        <v>44303</v>
      </c>
      <c r="AH273" s="416">
        <f t="shared" si="180"/>
        <v>44334</v>
      </c>
      <c r="AI273" s="416">
        <f t="shared" si="180"/>
        <v>44365</v>
      </c>
      <c r="AJ273" s="416">
        <f t="shared" si="180"/>
        <v>44396</v>
      </c>
      <c r="AK273" s="416">
        <f t="shared" si="180"/>
        <v>44427</v>
      </c>
      <c r="AL273" s="416">
        <f t="shared" si="180"/>
        <v>44458</v>
      </c>
      <c r="AM273" s="416">
        <f t="shared" si="180"/>
        <v>44489</v>
      </c>
      <c r="AN273" s="416">
        <f t="shared" si="180"/>
        <v>44520</v>
      </c>
      <c r="AO273" s="416">
        <f t="shared" si="180"/>
        <v>44551</v>
      </c>
      <c r="AP273" s="416">
        <f t="shared" si="180"/>
        <v>44582</v>
      </c>
      <c r="AQ273" s="416">
        <f t="shared" si="180"/>
        <v>44613</v>
      </c>
      <c r="AR273" s="416">
        <f t="shared" si="180"/>
        <v>44644</v>
      </c>
      <c r="AS273" s="416">
        <f t="shared" si="180"/>
        <v>44675</v>
      </c>
      <c r="AT273" s="416">
        <f t="shared" si="180"/>
        <v>44706</v>
      </c>
      <c r="AU273" s="416">
        <f t="shared" si="180"/>
        <v>44737</v>
      </c>
      <c r="AV273" s="416">
        <f t="shared" si="180"/>
        <v>44768</v>
      </c>
      <c r="AW273" s="416">
        <f t="shared" si="180"/>
        <v>44799</v>
      </c>
      <c r="AX273" s="416">
        <f t="shared" si="180"/>
        <v>44830</v>
      </c>
      <c r="AY273" s="416">
        <f t="shared" si="180"/>
        <v>44861</v>
      </c>
      <c r="AZ273" s="416">
        <f t="shared" si="180"/>
        <v>44892</v>
      </c>
      <c r="BA273" s="416">
        <f t="shared" si="180"/>
        <v>44923</v>
      </c>
      <c r="BB273" s="416">
        <f aca="true" t="shared" si="181" ref="BB273">+BA273+31</f>
        <v>44954</v>
      </c>
      <c r="BC273" s="416">
        <f aca="true" t="shared" si="182" ref="BC273">+BB273+31</f>
        <v>44985</v>
      </c>
      <c r="BD273" s="416">
        <f aca="true" t="shared" si="183" ref="BD273">+BC273+31</f>
        <v>45016</v>
      </c>
      <c r="BE273" s="416">
        <f>+BD273+10</f>
        <v>45026</v>
      </c>
      <c r="BF273" s="416">
        <f aca="true" t="shared" si="184" ref="BF273">+BE273+31</f>
        <v>45057</v>
      </c>
      <c r="BG273" s="416">
        <f aca="true" t="shared" si="185" ref="BG273">+BF273+31</f>
        <v>45088</v>
      </c>
      <c r="BH273" s="416">
        <f aca="true" t="shared" si="186" ref="BH273">+BG273+31</f>
        <v>45119</v>
      </c>
      <c r="BI273" s="416">
        <f aca="true" t="shared" si="187" ref="BI273">+BH273+31</f>
        <v>45150</v>
      </c>
      <c r="BJ273" s="416">
        <f aca="true" t="shared" si="188" ref="BJ273">+BI273+31</f>
        <v>45181</v>
      </c>
      <c r="BK273" s="416">
        <f aca="true" t="shared" si="189" ref="BK273">+BJ273+31</f>
        <v>45212</v>
      </c>
      <c r="BL273" s="416">
        <f aca="true" t="shared" si="190" ref="BL273">+BK273+31</f>
        <v>45243</v>
      </c>
      <c r="BM273" s="416">
        <f aca="true" t="shared" si="191" ref="BM273">+BL273+31</f>
        <v>45274</v>
      </c>
    </row>
    <row r="274" spans="5:65" s="331" customFormat="1" ht="15.75">
      <c r="E274" s="416">
        <v>43466</v>
      </c>
      <c r="F274" s="331">
        <f>F405</f>
        <v>0</v>
      </c>
      <c r="G274" s="331">
        <f>+IF(SUM($F340:F340)&gt;=G405*$F$9,0,G340)</f>
        <v>0</v>
      </c>
      <c r="H274" s="331">
        <f>+IF(SUM($F340:G340)&gt;=H405*$F$9,0,H340)</f>
        <v>0</v>
      </c>
      <c r="I274" s="331">
        <f>+IF(SUM($F340:H340)&gt;=I405*$F$9,0,I340)</f>
        <v>0</v>
      </c>
      <c r="J274" s="331">
        <f>+IF(SUM($F340:I340)&gt;=J405*$F$9,0,J340)</f>
        <v>0</v>
      </c>
      <c r="K274" s="331">
        <f>+IF(SUM($F340:J340)&gt;=K405*$F$9,0,K340)</f>
        <v>0</v>
      </c>
      <c r="L274" s="331">
        <f>+IF(SUM($F340:K340)&gt;=L405*$F$9,0,L340)</f>
        <v>0</v>
      </c>
      <c r="M274" s="331">
        <f>+IF(SUM($F340:L340)&gt;=M405*$F$9,0,M340)</f>
        <v>0</v>
      </c>
      <c r="N274" s="331">
        <f>+IF(SUM($F340:M340)&gt;=N405*$F$9,0,N340)</f>
        <v>0</v>
      </c>
      <c r="O274" s="331">
        <f>+IF(SUM($F340:N340)&gt;=O405*$F$9,0,O340)</f>
        <v>0</v>
      </c>
      <c r="P274" s="331">
        <f>+IF(SUM($F340:O340)&gt;=P405*$F$9,0,P340)</f>
        <v>0</v>
      </c>
      <c r="Q274" s="331">
        <f>+IF(SUM($F340:P340)&gt;=Q405*$F$9,0,Q340)</f>
        <v>0</v>
      </c>
      <c r="R274" s="331">
        <f>+IF(SUM($F340:Q340)&gt;=R405*$F$9,0,R340)</f>
        <v>0</v>
      </c>
      <c r="S274" s="331">
        <f>+IF(SUM($F340:R340)&gt;=S405*$F$9,0,S340)</f>
        <v>0</v>
      </c>
      <c r="T274" s="331">
        <f>+IF(SUM($F340:S340)&gt;=T405*$F$9,0,T340)</f>
        <v>0</v>
      </c>
      <c r="U274" s="331">
        <f>+IF(SUM($F340:T340)&gt;=U405*$F$9,0,U340)</f>
        <v>0</v>
      </c>
      <c r="V274" s="331">
        <f>+IF(SUM($F340:U340)&gt;=V405*$F$9,0,V340)</f>
        <v>0</v>
      </c>
      <c r="W274" s="331">
        <f>+IF(SUM($F340:V340)&gt;=W405*$F$9,0,W340)</f>
        <v>0</v>
      </c>
      <c r="X274" s="331">
        <f>+IF(SUM($F340:W340)&gt;=X405*$F$9,0,X340)</f>
        <v>0</v>
      </c>
      <c r="Y274" s="331">
        <f>+IF(SUM($F340:X340)&gt;=Y405*$F$9,0,Y340)</f>
        <v>0</v>
      </c>
      <c r="Z274" s="331">
        <f>+IF(SUM($F340:Y340)&gt;=Z405*$F$9,0,Z340)</f>
        <v>0</v>
      </c>
      <c r="AA274" s="331">
        <f>+IF(SUM($F340:Z340)&gt;=AA405*$F$9,0,AA340)</f>
        <v>0</v>
      </c>
      <c r="AB274" s="331">
        <f>+IF(SUM($F340:AA340)&gt;=AB405*$F$9,0,AB340)</f>
        <v>0</v>
      </c>
      <c r="AC274" s="331">
        <f>+IF(SUM($F340:AB340)&gt;=AC405*$F$9,0,AC340)</f>
        <v>0</v>
      </c>
      <c r="AD274" s="331">
        <f>+IF(SUM($F340:AC340)&gt;=AD405*$F$9,0,AD340)</f>
        <v>0</v>
      </c>
      <c r="AE274" s="331">
        <f>+IF(SUM($F340:AD340)&gt;=AE405*$F$9,0,AE340)</f>
        <v>0</v>
      </c>
      <c r="AF274" s="331">
        <f>+IF(SUM($F340:AE340)&gt;=AF405*$F$9,0,AF340)</f>
        <v>0</v>
      </c>
      <c r="AG274" s="331">
        <f>+IF(SUM($F340:AF340)&gt;=AG405*$F$9,0,AG340)</f>
        <v>0</v>
      </c>
      <c r="AH274" s="331">
        <f>+IF(SUM($F340:AG340)&gt;=AH405*$F$9,0,AH340)</f>
        <v>0</v>
      </c>
      <c r="AI274" s="331">
        <f>+IF(SUM($F340:AH340)&gt;=AI405*$F$9,0,AI340)</f>
        <v>0</v>
      </c>
      <c r="AJ274" s="331">
        <f>+IF(SUM($F340:AI340)&gt;=AJ405*$F$9,0,AJ340)</f>
        <v>0</v>
      </c>
      <c r="AK274" s="331">
        <f>+IF(SUM($F340:AJ340)&gt;=AK405*$F$9,0,AK340)</f>
        <v>0</v>
      </c>
      <c r="AL274" s="331">
        <f>+IF(SUM($F340:AK340)&gt;=AL405*$F$9,0,AL340)</f>
        <v>0</v>
      </c>
      <c r="AM274" s="331">
        <f>+IF(SUM($F340:AL340)&gt;=AM405*$F$9,0,AM340)</f>
        <v>0</v>
      </c>
      <c r="AN274" s="331">
        <f>+IF(SUM($F340:AM340)&gt;=AN405*$F$9,0,AN340)</f>
        <v>0</v>
      </c>
      <c r="AO274" s="331">
        <f>+IF(SUM($F340:AN340)&gt;=AO405*$F$9,0,AO340)</f>
        <v>0</v>
      </c>
      <c r="AP274" s="331">
        <f>+IF(SUM($F340:AO340)&gt;=AP405*$F$9,0,AP340)</f>
        <v>0</v>
      </c>
      <c r="AQ274" s="331">
        <f>+IF(SUM($F340:AP340)&gt;=AQ405*$F$9,0,AQ340)</f>
        <v>0</v>
      </c>
      <c r="AR274" s="331">
        <f>+IF(SUM($F340:AQ340)&gt;=AR405*$F$9,0,AR340)</f>
        <v>0</v>
      </c>
      <c r="AS274" s="331">
        <f>+IF(SUM($F340:AR340)&gt;=AS405*$F$9,0,AS340)</f>
        <v>0</v>
      </c>
      <c r="AT274" s="331">
        <f>+IF(SUM($F340:AS340)&gt;=AT405*$F$9,0,AT340)</f>
        <v>0</v>
      </c>
      <c r="AU274" s="331">
        <f>+IF(SUM($F340:AT340)&gt;=AU405*$F$9,0,AU340)</f>
        <v>0</v>
      </c>
      <c r="AV274" s="331">
        <f>+IF(SUM($F340:AU340)&gt;=AV405*$F$9,0,AV340)</f>
        <v>0</v>
      </c>
      <c r="AW274" s="331">
        <f>+IF(SUM($F340:AV340)&gt;=AW405*$F$9,0,AW340)</f>
        <v>0</v>
      </c>
      <c r="AX274" s="331">
        <f>+IF(SUM($F340:AW340)&gt;=AX405*$F$9,0,AX340)</f>
        <v>0</v>
      </c>
      <c r="AY274" s="331">
        <f>+IF(SUM($F340:AX340)&gt;=AY405*$F$9,0,AY340)</f>
        <v>0</v>
      </c>
      <c r="AZ274" s="331">
        <f>+IF(SUM($F340:AY340)&gt;=AZ405*$F$9,0,AZ340)</f>
        <v>0</v>
      </c>
      <c r="BA274" s="331">
        <f>+IF(SUM($F340:AZ340)&gt;=BA405*$F$9,0,BA340)</f>
        <v>0</v>
      </c>
      <c r="BB274" s="331">
        <f>+IF(SUM($F340:BA340)&gt;=BB405*$F$9,0,BB340)</f>
        <v>0</v>
      </c>
      <c r="BC274" s="331">
        <f>+IF(SUM($F340:BB340)&gt;=BC405*$F$9,0,BC340)</f>
        <v>0</v>
      </c>
      <c r="BD274" s="331">
        <f>+IF(SUM($F340:BC340)&gt;=BD405*$F$9,0,BD340)</f>
        <v>0</v>
      </c>
      <c r="BE274" s="331">
        <f>+IF(SUM($F340:BD340)&gt;=BE405*$F$9,0,BE340)</f>
        <v>0</v>
      </c>
      <c r="BF274" s="331">
        <f>+IF(SUM($F340:BE340)&gt;=BF405*$F$9,0,BF340)</f>
        <v>0</v>
      </c>
      <c r="BG274" s="331">
        <f>+IF(SUM($F340:BF340)&gt;=BG405*$F$9,0,BG340)</f>
        <v>0</v>
      </c>
      <c r="BH274" s="331">
        <f>+IF(SUM($F340:BG340)&gt;=BH405*$F$9,0,BH340)</f>
        <v>0</v>
      </c>
      <c r="BI274" s="331">
        <f>+IF(SUM($F340:BH340)&gt;=BI405*$F$9,0,BI340)</f>
        <v>0</v>
      </c>
      <c r="BJ274" s="331">
        <f>+IF(SUM($F340:BI340)&gt;=BJ405*$F$9,0,BJ340)</f>
        <v>0</v>
      </c>
      <c r="BK274" s="331">
        <f>+IF(SUM($F340:BJ340)&gt;=BK405*$F$9,0,BK340)</f>
        <v>0</v>
      </c>
      <c r="BL274" s="331">
        <f>+IF(SUM($F340:BK340)&gt;=BL405*$F$9,0,BL340)</f>
        <v>0</v>
      </c>
      <c r="BM274" s="331">
        <f>+IF(SUM($F340:BL340)&gt;=BM405*$F$9,0,BM340)</f>
        <v>0</v>
      </c>
    </row>
    <row r="275" spans="2:65" ht="15.75">
      <c r="B275" s="2">
        <f>70*40*4</f>
        <v>11200</v>
      </c>
      <c r="E275" s="416">
        <f>+E274+31</f>
        <v>43497</v>
      </c>
      <c r="F275" s="331">
        <f aca="true" t="shared" si="192" ref="F275:F333">F406</f>
        <v>0</v>
      </c>
      <c r="G275" s="331">
        <f>+IF(SUM($F341:F341)&gt;=G406*$F$9,0,G341)</f>
        <v>0</v>
      </c>
      <c r="H275" s="331">
        <f>+IF(SUM($F341:G341)&gt;=H406*$F$9,0,H341)</f>
        <v>0</v>
      </c>
      <c r="I275" s="331">
        <f>+IF(SUM($F341:H341)&gt;=I406*$F$9,0,I341)</f>
        <v>0</v>
      </c>
      <c r="J275" s="331">
        <f>+IF(SUM($F341:I341)&gt;=J406*$F$9,0,J341)</f>
        <v>0</v>
      </c>
      <c r="K275" s="331">
        <f>+IF(SUM($F341:J341)&gt;=K406*$F$9,0,K341)</f>
        <v>0</v>
      </c>
      <c r="L275" s="331">
        <f>+IF(SUM($F341:K341)&gt;=L406*$F$9,0,L341)</f>
        <v>0</v>
      </c>
      <c r="M275" s="331">
        <f>+IF(SUM($F341:L341)&gt;=M406*$F$9,0,M341)</f>
        <v>0</v>
      </c>
      <c r="N275" s="331">
        <f>+IF(SUM($F341:M341)&gt;=N406*$F$9,0,N341)</f>
        <v>0</v>
      </c>
      <c r="O275" s="331">
        <f>+IF(SUM($F341:N341)&gt;=O406*$F$9,0,O341)</f>
        <v>0</v>
      </c>
      <c r="P275" s="331">
        <f>+IF(SUM($F341:O341)&gt;=P406*$F$9,0,P341)</f>
        <v>0</v>
      </c>
      <c r="Q275" s="331">
        <f>+IF(SUM($F341:P341)&gt;=Q406*$F$9,0,Q341)</f>
        <v>0</v>
      </c>
      <c r="R275" s="331">
        <f>+IF(SUM($F341:Q341)&gt;=R406*$F$9,0,R341)</f>
        <v>0</v>
      </c>
      <c r="S275" s="331">
        <f>+IF(SUM($F341:R341)&gt;=S406*$F$9,0,S341)</f>
        <v>0</v>
      </c>
      <c r="T275" s="331">
        <f>+IF(SUM($F341:S341)&gt;=T406*$F$9,0,T341)</f>
        <v>0</v>
      </c>
      <c r="U275" s="331">
        <f>+IF(SUM($F341:T341)&gt;=U406*$F$9,0,U341)</f>
        <v>0</v>
      </c>
      <c r="V275" s="331">
        <f>+IF(SUM($F341:U341)&gt;=V406*$F$9,0,V341)</f>
        <v>0</v>
      </c>
      <c r="W275" s="331">
        <f>+IF(SUM($F341:V341)&gt;=W406*$F$9,0,W341)</f>
        <v>0</v>
      </c>
      <c r="X275" s="331">
        <f>+IF(SUM($F341:W341)&gt;=X406*$F$9,0,X341)</f>
        <v>0</v>
      </c>
      <c r="Y275" s="331">
        <f>+IF(SUM($F341:X341)&gt;=Y406*$F$9,0,Y341)</f>
        <v>0</v>
      </c>
      <c r="Z275" s="331">
        <f>+IF(SUM($F341:Y341)&gt;=Z406*$F$9,0,Z341)</f>
        <v>0</v>
      </c>
      <c r="AA275" s="331">
        <f>+IF(SUM($F341:Z341)&gt;=AA406*$F$9,0,AA341)</f>
        <v>0</v>
      </c>
      <c r="AB275" s="331">
        <f>+IF(SUM($F341:AA341)&gt;=AB406*$F$9,0,AB341)</f>
        <v>0</v>
      </c>
      <c r="AC275" s="331">
        <f>+IF(SUM($F341:AB341)&gt;=AC406*$F$9,0,AC341)</f>
        <v>0</v>
      </c>
      <c r="AD275" s="331">
        <f>+IF(SUM($F341:AC341)&gt;=AD406*$F$9,0,AD341)</f>
        <v>0</v>
      </c>
      <c r="AE275" s="331">
        <f>+IF(SUM($F341:AD341)&gt;=AE406*$F$9,0,AE341)</f>
        <v>0</v>
      </c>
      <c r="AF275" s="331">
        <f>+IF(SUM($F341:AE341)&gt;=AF406*$F$9,0,AF341)</f>
        <v>0</v>
      </c>
      <c r="AG275" s="331">
        <f>+IF(SUM($F341:AF341)&gt;=AG406*$F$9,0,AG341)</f>
        <v>0</v>
      </c>
      <c r="AH275" s="331">
        <f>+IF(SUM($F341:AG341)&gt;=AH406*$F$9,0,AH341)</f>
        <v>0</v>
      </c>
      <c r="AI275" s="331">
        <f>+IF(SUM($F341:AH341)&gt;=AI406*$F$9,0,AI341)</f>
        <v>0</v>
      </c>
      <c r="AJ275" s="331">
        <f>+IF(SUM($F341:AI341)&gt;=AJ406*$F$9,0,AJ341)</f>
        <v>0</v>
      </c>
      <c r="AK275" s="331">
        <f>+IF(SUM($F341:AJ341)&gt;=AK406*$F$9,0,AK341)</f>
        <v>0</v>
      </c>
      <c r="AL275" s="331">
        <f>+IF(SUM($F341:AK341)&gt;=AL406*$F$9,0,AL341)</f>
        <v>0</v>
      </c>
      <c r="AM275" s="331">
        <f>+IF(SUM($F341:AL341)&gt;=AM406*$F$9,0,AM341)</f>
        <v>0</v>
      </c>
      <c r="AN275" s="331">
        <f>+IF(SUM($F341:AM341)&gt;=AN406*$F$9,0,AN341)</f>
        <v>0</v>
      </c>
      <c r="AO275" s="331">
        <f>+IF(SUM($F341:AN341)&gt;=AO406*$F$9,0,AO341)</f>
        <v>0</v>
      </c>
      <c r="AP275" s="331">
        <f>+IF(SUM($F341:AO341)&gt;=AP406*$F$9,0,AP341)</f>
        <v>0</v>
      </c>
      <c r="AQ275" s="331">
        <f>+IF(SUM($F341:AP341)&gt;=AQ406*$F$9,0,AQ341)</f>
        <v>0</v>
      </c>
      <c r="AR275" s="331">
        <f>+IF(SUM($F341:AQ341)&gt;=AR406*$F$9,0,AR341)</f>
        <v>0</v>
      </c>
      <c r="AS275" s="331">
        <f>+IF(SUM($F341:AR341)&gt;=AS406*$F$9,0,AS341)</f>
        <v>0</v>
      </c>
      <c r="AT275" s="331">
        <f>+IF(SUM($F341:AS341)&gt;=AT406*$F$9,0,AT341)</f>
        <v>0</v>
      </c>
      <c r="AU275" s="331">
        <f>+IF(SUM($F341:AT341)&gt;=AU406*$F$9,0,AU341)</f>
        <v>0</v>
      </c>
      <c r="AV275" s="331">
        <f>+IF(SUM($F341:AU341)&gt;=AV406*$F$9,0,AV341)</f>
        <v>0</v>
      </c>
      <c r="AW275" s="331">
        <f>+IF(SUM($F341:AV341)&gt;=AW406*$F$9,0,AW341)</f>
        <v>0</v>
      </c>
      <c r="AX275" s="331">
        <f>+IF(SUM($F341:AW341)&gt;=AX406*$F$9,0,AX341)</f>
        <v>0</v>
      </c>
      <c r="AY275" s="331">
        <f>+IF(SUM($F341:AX341)&gt;=AY406*$F$9,0,AY341)</f>
        <v>0</v>
      </c>
      <c r="AZ275" s="331">
        <f>+IF(SUM($F341:AY341)&gt;=AZ406*$F$9,0,AZ341)</f>
        <v>0</v>
      </c>
      <c r="BA275" s="331">
        <f>+IF(SUM($F341:AZ341)&gt;=BA406*$F$9,0,BA341)</f>
        <v>0</v>
      </c>
      <c r="BB275" s="331">
        <f>+IF(SUM($F341:BA341)&gt;=BB406*$F$9,0,BB341)</f>
        <v>0</v>
      </c>
      <c r="BC275" s="331">
        <f>+IF(SUM($F341:BB341)&gt;=BC406*$F$9,0,BC341)</f>
        <v>0</v>
      </c>
      <c r="BD275" s="331">
        <f>+IF(SUM($F341:BC341)&gt;=BD406*$F$9,0,BD341)</f>
        <v>0</v>
      </c>
      <c r="BE275" s="331">
        <f>+IF(SUM($F341:BD341)&gt;=BE406*$F$9,0,BE341)</f>
        <v>0</v>
      </c>
      <c r="BF275" s="331">
        <f>+IF(SUM($F341:BE341)&gt;=BF406*$F$9,0,BF341)</f>
        <v>0</v>
      </c>
      <c r="BG275" s="331">
        <f>+IF(SUM($F341:BF341)&gt;=BG406*$F$9,0,BG341)</f>
        <v>0</v>
      </c>
      <c r="BH275" s="331">
        <f>+IF(SUM($F341:BG341)&gt;=BH406*$F$9,0,BH341)</f>
        <v>0</v>
      </c>
      <c r="BI275" s="331">
        <f>+IF(SUM($F341:BH341)&gt;=BI406*$F$9,0,BI341)</f>
        <v>0</v>
      </c>
      <c r="BJ275" s="331">
        <f>+IF(SUM($F341:BI341)&gt;=BJ406*$F$9,0,BJ341)</f>
        <v>0</v>
      </c>
      <c r="BK275" s="331">
        <f>+IF(SUM($F341:BJ341)&gt;=BK406*$F$9,0,BK341)</f>
        <v>0</v>
      </c>
      <c r="BL275" s="331">
        <f>+IF(SUM($F341:BK341)&gt;=BL406*$F$9,0,BL341)</f>
        <v>0</v>
      </c>
      <c r="BM275" s="331">
        <f>+IF(SUM($F341:BL341)&gt;=BM406*$F$9,0,BM341)</f>
        <v>0</v>
      </c>
    </row>
    <row r="276" spans="5:65" ht="15.75">
      <c r="E276" s="416">
        <f aca="true" t="shared" si="193" ref="E276:E333">+E275+31</f>
        <v>43528</v>
      </c>
      <c r="F276" s="331">
        <f t="shared" si="192"/>
        <v>0</v>
      </c>
      <c r="G276" s="331">
        <f>+IF(SUM($F342:F342)&gt;=G407*$F$9,0,G342)</f>
        <v>0</v>
      </c>
      <c r="H276" s="331">
        <f>+IF(SUM($F342:G342)&gt;=H407*$F$9,0,H342)</f>
        <v>0</v>
      </c>
      <c r="I276" s="331">
        <f>+IF(SUM($F342:H342)&gt;=I407*$F$9,0,I342)</f>
        <v>0</v>
      </c>
      <c r="J276" s="331">
        <f>+IF(SUM($F342:I342)&gt;=J407*$F$9,0,J342)</f>
        <v>0</v>
      </c>
      <c r="K276" s="331">
        <f>+IF(SUM($F342:J342)&gt;=K407*$F$9,0,K342)</f>
        <v>0</v>
      </c>
      <c r="L276" s="331">
        <f>+IF(SUM($F342:K342)&gt;=L407*$F$9,0,L342)</f>
        <v>0</v>
      </c>
      <c r="M276" s="331">
        <f>+IF(SUM($F342:L342)&gt;=M407*$F$9,0,M342)</f>
        <v>0</v>
      </c>
      <c r="N276" s="331">
        <f>+IF(SUM($F342:M342)&gt;=N407*$F$9,0,N342)</f>
        <v>0</v>
      </c>
      <c r="O276" s="331">
        <f>+IF(SUM($F342:N342)&gt;=O407*$F$9,0,O342)</f>
        <v>0</v>
      </c>
      <c r="P276" s="331">
        <f>+IF(SUM($F342:O342)&gt;=P407*$F$9,0,P342)</f>
        <v>0</v>
      </c>
      <c r="Q276" s="331">
        <f>+IF(SUM($F342:P342)&gt;=Q407*$F$9,0,Q342)</f>
        <v>0</v>
      </c>
      <c r="R276" s="331">
        <f>+IF(SUM($F342:Q342)&gt;=R407*$F$9,0,R342)</f>
        <v>0</v>
      </c>
      <c r="S276" s="331">
        <f>+IF(SUM($F342:R342)&gt;=S407*$F$9,0,S342)</f>
        <v>0</v>
      </c>
      <c r="T276" s="331">
        <f>+IF(SUM($F342:S342)&gt;=T407*$F$9,0,T342)</f>
        <v>0</v>
      </c>
      <c r="U276" s="331">
        <f>+IF(SUM($F342:T342)&gt;=U407*$F$9,0,U342)</f>
        <v>0</v>
      </c>
      <c r="V276" s="331">
        <f>+IF(SUM($F342:U342)&gt;=V407*$F$9,0,V342)</f>
        <v>0</v>
      </c>
      <c r="W276" s="331">
        <f>+IF(SUM($F342:V342)&gt;=W407*$F$9,0,W342)</f>
        <v>0</v>
      </c>
      <c r="X276" s="331">
        <f>+IF(SUM($F342:W342)&gt;=X407*$F$9,0,X342)</f>
        <v>0</v>
      </c>
      <c r="Y276" s="331">
        <f>+IF(SUM($F342:X342)&gt;=Y407*$F$9,0,Y342)</f>
        <v>0</v>
      </c>
      <c r="Z276" s="331">
        <f>+IF(SUM($F342:Y342)&gt;=Z407*$F$9,0,Z342)</f>
        <v>0</v>
      </c>
      <c r="AA276" s="331">
        <f>+IF(SUM($F342:Z342)&gt;=AA407*$F$9,0,AA342)</f>
        <v>0</v>
      </c>
      <c r="AB276" s="331">
        <f>+IF(SUM($F342:AA342)&gt;=AB407*$F$9,0,AB342)</f>
        <v>0</v>
      </c>
      <c r="AC276" s="331">
        <f>+IF(SUM($F342:AB342)&gt;=AC407*$F$9,0,AC342)</f>
        <v>0</v>
      </c>
      <c r="AD276" s="331">
        <f>+IF(SUM($F342:AC342)&gt;=AD407*$F$9,0,AD342)</f>
        <v>0</v>
      </c>
      <c r="AE276" s="331">
        <f>+IF(SUM($F342:AD342)&gt;=AE407*$F$9,0,AE342)</f>
        <v>0</v>
      </c>
      <c r="AF276" s="331">
        <f>+IF(SUM($F342:AE342)&gt;=AF407*$F$9,0,AF342)</f>
        <v>0</v>
      </c>
      <c r="AG276" s="331">
        <f>+IF(SUM($F342:AF342)&gt;=AG407*$F$9,0,AG342)</f>
        <v>0</v>
      </c>
      <c r="AH276" s="331">
        <f>+IF(SUM($F342:AG342)&gt;=AH407*$F$9,0,AH342)</f>
        <v>0</v>
      </c>
      <c r="AI276" s="331">
        <f>+IF(SUM($F342:AH342)&gt;=AI407*$F$9,0,AI342)</f>
        <v>0</v>
      </c>
      <c r="AJ276" s="331">
        <f>+IF(SUM($F342:AI342)&gt;=AJ407*$F$9,0,AJ342)</f>
        <v>0</v>
      </c>
      <c r="AK276" s="331">
        <f>+IF(SUM($F342:AJ342)&gt;=AK407*$F$9,0,AK342)</f>
        <v>0</v>
      </c>
      <c r="AL276" s="331">
        <f>+IF(SUM($F342:AK342)&gt;=AL407*$F$9,0,AL342)</f>
        <v>0</v>
      </c>
      <c r="AM276" s="331">
        <f>+IF(SUM($F342:AL342)&gt;=AM407*$F$9,0,AM342)</f>
        <v>0</v>
      </c>
      <c r="AN276" s="331">
        <f>+IF(SUM($F342:AM342)&gt;=AN407*$F$9,0,AN342)</f>
        <v>0</v>
      </c>
      <c r="AO276" s="331">
        <f>+IF(SUM($F342:AN342)&gt;=AO407*$F$9,0,AO342)</f>
        <v>0</v>
      </c>
      <c r="AP276" s="331">
        <f>+IF(SUM($F342:AO342)&gt;=AP407*$F$9,0,AP342)</f>
        <v>0</v>
      </c>
      <c r="AQ276" s="331">
        <f>+IF(SUM($F342:AP342)&gt;=AQ407*$F$9,0,AQ342)</f>
        <v>0</v>
      </c>
      <c r="AR276" s="331">
        <f>+IF(SUM($F342:AQ342)&gt;=AR407*$F$9,0,AR342)</f>
        <v>0</v>
      </c>
      <c r="AS276" s="331">
        <f>+IF(SUM($F342:AR342)&gt;=AS407*$F$9,0,AS342)</f>
        <v>0</v>
      </c>
      <c r="AT276" s="331">
        <f>+IF(SUM($F342:AS342)&gt;=AT407*$F$9,0,AT342)</f>
        <v>0</v>
      </c>
      <c r="AU276" s="331">
        <f>+IF(SUM($F342:AT342)&gt;=AU407*$F$9,0,AU342)</f>
        <v>0</v>
      </c>
      <c r="AV276" s="331">
        <f>+IF(SUM($F342:AU342)&gt;=AV407*$F$9,0,AV342)</f>
        <v>0</v>
      </c>
      <c r="AW276" s="331">
        <f>+IF(SUM($F342:AV342)&gt;=AW407*$F$9,0,AW342)</f>
        <v>0</v>
      </c>
      <c r="AX276" s="331">
        <f>+IF(SUM($F342:AW342)&gt;=AX407*$F$9,0,AX342)</f>
        <v>0</v>
      </c>
      <c r="AY276" s="331">
        <f>+IF(SUM($F342:AX342)&gt;=AY407*$F$9,0,AY342)</f>
        <v>0</v>
      </c>
      <c r="AZ276" s="331">
        <f>+IF(SUM($F342:AY342)&gt;=AZ407*$F$9,0,AZ342)</f>
        <v>0</v>
      </c>
      <c r="BA276" s="331">
        <f>+IF(SUM($F342:AZ342)&gt;=BA407*$F$9,0,BA342)</f>
        <v>0</v>
      </c>
      <c r="BB276" s="331">
        <f>+IF(SUM($F342:BA342)&gt;=BB407*$F$9,0,BB342)</f>
        <v>0</v>
      </c>
      <c r="BC276" s="331">
        <f>+IF(SUM($F342:BB342)&gt;=BC407*$F$9,0,BC342)</f>
        <v>0</v>
      </c>
      <c r="BD276" s="331">
        <f>+IF(SUM($F342:BC342)&gt;=BD407*$F$9,0,BD342)</f>
        <v>0</v>
      </c>
      <c r="BE276" s="331">
        <f>+IF(SUM($F342:BD342)&gt;=BE407*$F$9,0,BE342)</f>
        <v>0</v>
      </c>
      <c r="BF276" s="331">
        <f>+IF(SUM($F342:BE342)&gt;=BF407*$F$9,0,BF342)</f>
        <v>0</v>
      </c>
      <c r="BG276" s="331">
        <f>+IF(SUM($F342:BF342)&gt;=BG407*$F$9,0,BG342)</f>
        <v>0</v>
      </c>
      <c r="BH276" s="331">
        <f>+IF(SUM($F342:BG342)&gt;=BH407*$F$9,0,BH342)</f>
        <v>0</v>
      </c>
      <c r="BI276" s="331">
        <f>+IF(SUM($F342:BH342)&gt;=BI407*$F$9,0,BI342)</f>
        <v>0</v>
      </c>
      <c r="BJ276" s="331">
        <f>+IF(SUM($F342:BI342)&gt;=BJ407*$F$9,0,BJ342)</f>
        <v>0</v>
      </c>
      <c r="BK276" s="331">
        <f>+IF(SUM($F342:BJ342)&gt;=BK407*$F$9,0,BK342)</f>
        <v>0</v>
      </c>
      <c r="BL276" s="331">
        <f>+IF(SUM($F342:BK342)&gt;=BL407*$F$9,0,BL342)</f>
        <v>0</v>
      </c>
      <c r="BM276" s="331">
        <f>+IF(SUM($F342:BL342)&gt;=BM407*$F$9,0,BM342)</f>
        <v>0</v>
      </c>
    </row>
    <row r="277" spans="5:65" ht="15.75">
      <c r="E277" s="416">
        <f t="shared" si="193"/>
        <v>43559</v>
      </c>
      <c r="F277" s="331">
        <f t="shared" si="192"/>
        <v>0</v>
      </c>
      <c r="G277" s="331">
        <f>+IF(SUM($F343:F343)&gt;=G408*$F$9,0,G343)</f>
        <v>0</v>
      </c>
      <c r="H277" s="331">
        <f>+IF(SUM($F343:G343)&gt;=H408*$F$9,0,H343)</f>
        <v>0</v>
      </c>
      <c r="I277" s="331">
        <f>+IF(SUM($F343:H343)&gt;=I408*$F$9,0,I343)</f>
        <v>0</v>
      </c>
      <c r="J277" s="331">
        <f>+IF(SUM($F343:I343)&gt;=J408*$F$9,0,J343)</f>
        <v>0</v>
      </c>
      <c r="K277" s="331">
        <f>+IF(SUM($F343:J343)&gt;=K408*$F$9,0,K343)</f>
        <v>0</v>
      </c>
      <c r="L277" s="331">
        <f>+IF(SUM($F343:K343)&gt;=L408*$F$9,0,L343)</f>
        <v>0</v>
      </c>
      <c r="M277" s="331">
        <f>+IF(SUM($F343:L343)&gt;=M408*$F$9,0,M343)</f>
        <v>0</v>
      </c>
      <c r="N277" s="331">
        <f>+IF(SUM($F343:M343)&gt;=N408*$F$9,0,N343)</f>
        <v>0</v>
      </c>
      <c r="O277" s="331">
        <f>+IF(SUM($F343:N343)&gt;=O408*$F$9,0,O343)</f>
        <v>0</v>
      </c>
      <c r="P277" s="331">
        <f>+IF(SUM($F343:O343)&gt;=P408*$F$9,0,P343)</f>
        <v>0</v>
      </c>
      <c r="Q277" s="331">
        <f>+IF(SUM($F343:P343)&gt;=Q408*$F$9,0,Q343)</f>
        <v>0</v>
      </c>
      <c r="R277" s="331">
        <f>+IF(SUM($F343:Q343)&gt;=R408*$F$9,0,R343)</f>
        <v>0</v>
      </c>
      <c r="S277" s="331">
        <f>+IF(SUM($F343:R343)&gt;=S408*$F$9,0,S343)</f>
        <v>0</v>
      </c>
      <c r="T277" s="331">
        <f>+IF(SUM($F343:S343)&gt;=T408*$F$9,0,T343)</f>
        <v>0</v>
      </c>
      <c r="U277" s="331">
        <f>+IF(SUM($F343:T343)&gt;=U408*$F$9,0,U343)</f>
        <v>0</v>
      </c>
      <c r="V277" s="331">
        <f>+IF(SUM($F343:U343)&gt;=V408*$F$9,0,V343)</f>
        <v>0</v>
      </c>
      <c r="W277" s="331">
        <f>+IF(SUM($F343:V343)&gt;=W408*$F$9,0,W343)</f>
        <v>0</v>
      </c>
      <c r="X277" s="331">
        <f>+IF(SUM($F343:W343)&gt;=X408*$F$9,0,X343)</f>
        <v>0</v>
      </c>
      <c r="Y277" s="331">
        <f>+IF(SUM($F343:X343)&gt;=Y408*$F$9,0,Y343)</f>
        <v>0</v>
      </c>
      <c r="Z277" s="331">
        <f>+IF(SUM($F343:Y343)&gt;=Z408*$F$9,0,Z343)</f>
        <v>0</v>
      </c>
      <c r="AA277" s="331">
        <f>+IF(SUM($F343:Z343)&gt;=AA408*$F$9,0,AA343)</f>
        <v>0</v>
      </c>
      <c r="AB277" s="331">
        <f>+IF(SUM($F343:AA343)&gt;=AB408*$F$9,0,AB343)</f>
        <v>0</v>
      </c>
      <c r="AC277" s="331">
        <f>+IF(SUM($F343:AB343)&gt;=AC408*$F$9,0,AC343)</f>
        <v>0</v>
      </c>
      <c r="AD277" s="331">
        <f>+IF(SUM($F343:AC343)&gt;=AD408*$F$9,0,AD343)</f>
        <v>0</v>
      </c>
      <c r="AE277" s="331">
        <f>+IF(SUM($F343:AD343)&gt;=AE408*$F$9,0,AE343)</f>
        <v>0</v>
      </c>
      <c r="AF277" s="331">
        <f>+IF(SUM($F343:AE343)&gt;=AF408*$F$9,0,AF343)</f>
        <v>0</v>
      </c>
      <c r="AG277" s="331">
        <f>+IF(SUM($F343:AF343)&gt;=AG408*$F$9,0,AG343)</f>
        <v>0</v>
      </c>
      <c r="AH277" s="331">
        <f>+IF(SUM($F343:AG343)&gt;=AH408*$F$9,0,AH343)</f>
        <v>0</v>
      </c>
      <c r="AI277" s="331">
        <f>+IF(SUM($F343:AH343)&gt;=AI408*$F$9,0,AI343)</f>
        <v>0</v>
      </c>
      <c r="AJ277" s="331">
        <f>+IF(SUM($F343:AI343)&gt;=AJ408*$F$9,0,AJ343)</f>
        <v>0</v>
      </c>
      <c r="AK277" s="331">
        <f>+IF(SUM($F343:AJ343)&gt;=AK408*$F$9,0,AK343)</f>
        <v>0</v>
      </c>
      <c r="AL277" s="331">
        <f>+IF(SUM($F343:AK343)&gt;=AL408*$F$9,0,AL343)</f>
        <v>0</v>
      </c>
      <c r="AM277" s="331">
        <f>+IF(SUM($F343:AL343)&gt;=AM408*$F$9,0,AM343)</f>
        <v>0</v>
      </c>
      <c r="AN277" s="331">
        <f>+IF(SUM($F343:AM343)&gt;=AN408*$F$9,0,AN343)</f>
        <v>0</v>
      </c>
      <c r="AO277" s="331">
        <f>+IF(SUM($F343:AN343)&gt;=AO408*$F$9,0,AO343)</f>
        <v>0</v>
      </c>
      <c r="AP277" s="331">
        <f>+IF(SUM($F343:AO343)&gt;=AP408*$F$9,0,AP343)</f>
        <v>0</v>
      </c>
      <c r="AQ277" s="331">
        <f>+IF(SUM($F343:AP343)&gt;=AQ408*$F$9,0,AQ343)</f>
        <v>0</v>
      </c>
      <c r="AR277" s="331">
        <f>+IF(SUM($F343:AQ343)&gt;=AR408*$F$9,0,AR343)</f>
        <v>0</v>
      </c>
      <c r="AS277" s="331">
        <f>+IF(SUM($F343:AR343)&gt;=AS408*$F$9,0,AS343)</f>
        <v>0</v>
      </c>
      <c r="AT277" s="331">
        <f>+IF(SUM($F343:AS343)&gt;=AT408*$F$9,0,AT343)</f>
        <v>0</v>
      </c>
      <c r="AU277" s="331">
        <f>+IF(SUM($F343:AT343)&gt;=AU408*$F$9,0,AU343)</f>
        <v>0</v>
      </c>
      <c r="AV277" s="331">
        <f>+IF(SUM($F343:AU343)&gt;=AV408*$F$9,0,AV343)</f>
        <v>0</v>
      </c>
      <c r="AW277" s="331">
        <f>+IF(SUM($F343:AV343)&gt;=AW408*$F$9,0,AW343)</f>
        <v>0</v>
      </c>
      <c r="AX277" s="331">
        <f>+IF(SUM($F343:AW343)&gt;=AX408*$F$9,0,AX343)</f>
        <v>0</v>
      </c>
      <c r="AY277" s="331">
        <f>+IF(SUM($F343:AX343)&gt;=AY408*$F$9,0,AY343)</f>
        <v>0</v>
      </c>
      <c r="AZ277" s="331">
        <f>+IF(SUM($F343:AY343)&gt;=AZ408*$F$9,0,AZ343)</f>
        <v>0</v>
      </c>
      <c r="BA277" s="331">
        <f>+IF(SUM($F343:AZ343)&gt;=BA408*$F$9,0,BA343)</f>
        <v>0</v>
      </c>
      <c r="BB277" s="331">
        <f>+IF(SUM($F343:BA343)&gt;=BB408*$F$9,0,BB343)</f>
        <v>0</v>
      </c>
      <c r="BC277" s="331">
        <f>+IF(SUM($F343:BB343)&gt;=BC408*$F$9,0,BC343)</f>
        <v>0</v>
      </c>
      <c r="BD277" s="331">
        <f>+IF(SUM($F343:BC343)&gt;=BD408*$F$9,0,BD343)</f>
        <v>0</v>
      </c>
      <c r="BE277" s="331">
        <f>+IF(SUM($F343:BD343)&gt;=BE408*$F$9,0,BE343)</f>
        <v>0</v>
      </c>
      <c r="BF277" s="331">
        <f>+IF(SUM($F343:BE343)&gt;=BF408*$F$9,0,BF343)</f>
        <v>0</v>
      </c>
      <c r="BG277" s="331">
        <f>+IF(SUM($F343:BF343)&gt;=BG408*$F$9,0,BG343)</f>
        <v>0</v>
      </c>
      <c r="BH277" s="331">
        <f>+IF(SUM($F343:BG343)&gt;=BH408*$F$9,0,BH343)</f>
        <v>0</v>
      </c>
      <c r="BI277" s="331">
        <f>+IF(SUM($F343:BH343)&gt;=BI408*$F$9,0,BI343)</f>
        <v>0</v>
      </c>
      <c r="BJ277" s="331">
        <f>+IF(SUM($F343:BI343)&gt;=BJ408*$F$9,0,BJ343)</f>
        <v>0</v>
      </c>
      <c r="BK277" s="331">
        <f>+IF(SUM($F343:BJ343)&gt;=BK408*$F$9,0,BK343)</f>
        <v>0</v>
      </c>
      <c r="BL277" s="331">
        <f>+IF(SUM($F343:BK343)&gt;=BL408*$F$9,0,BL343)</f>
        <v>0</v>
      </c>
      <c r="BM277" s="331">
        <f>+IF(SUM($F343:BL343)&gt;=BM408*$F$9,0,BM343)</f>
        <v>0</v>
      </c>
    </row>
    <row r="278" spans="3:65" ht="15.75">
      <c r="C278" s="5"/>
      <c r="E278" s="416">
        <f t="shared" si="193"/>
        <v>43590</v>
      </c>
      <c r="F278" s="331">
        <f t="shared" si="192"/>
        <v>0</v>
      </c>
      <c r="G278" s="331">
        <f>+IF(SUM($F344:F344)&gt;=G409*$F$9,0,G344)</f>
        <v>0</v>
      </c>
      <c r="H278" s="331">
        <f>+IF(SUM($F344:G344)&gt;=H409*$F$9,0,H344)</f>
        <v>0</v>
      </c>
      <c r="I278" s="331">
        <f>+IF(SUM($F344:H344)&gt;=I409*$F$9,0,I344)</f>
        <v>0</v>
      </c>
      <c r="J278" s="331">
        <f>+IF(SUM($F344:I344)&gt;=J409*$F$9,0,J344)</f>
        <v>0</v>
      </c>
      <c r="K278" s="331">
        <f>+IF(SUM($F344:J344)&gt;=K409*$F$9,0,K344)</f>
        <v>0</v>
      </c>
      <c r="L278" s="331">
        <f>+IF(SUM($F344:K344)&gt;=L409*$F$9,0,L344)</f>
        <v>0</v>
      </c>
      <c r="M278" s="331">
        <f>+IF(SUM($F344:L344)&gt;=M409*$F$9,0,M344)</f>
        <v>0</v>
      </c>
      <c r="N278" s="331">
        <f>+IF(SUM($F344:M344)&gt;=N409*$F$9,0,N344)</f>
        <v>0</v>
      </c>
      <c r="O278" s="331">
        <f>+IF(SUM($F344:N344)&gt;=O409*$F$9,0,O344)</f>
        <v>0</v>
      </c>
      <c r="P278" s="331">
        <f>+IF(SUM($F344:O344)&gt;=P409*$F$9,0,P344)</f>
        <v>0</v>
      </c>
      <c r="Q278" s="331">
        <f>+IF(SUM($F344:P344)&gt;=Q409*$F$9,0,Q344)</f>
        <v>0</v>
      </c>
      <c r="R278" s="331">
        <f>+IF(SUM($F344:Q344)&gt;=R409*$F$9,0,R344)</f>
        <v>0</v>
      </c>
      <c r="S278" s="331">
        <f>+IF(SUM($F344:R344)&gt;=S409*$F$9,0,S344)</f>
        <v>0</v>
      </c>
      <c r="T278" s="331">
        <f>+IF(SUM($F344:S344)&gt;=T409*$F$9,0,T344)</f>
        <v>0</v>
      </c>
      <c r="U278" s="331">
        <f>+IF(SUM($F344:T344)&gt;=U409*$F$9,0,U344)</f>
        <v>0</v>
      </c>
      <c r="V278" s="331">
        <f>+IF(SUM($F344:U344)&gt;=V409*$F$9,0,V344)</f>
        <v>0</v>
      </c>
      <c r="W278" s="331">
        <f>+IF(SUM($F344:V344)&gt;=W409*$F$9,0,W344)</f>
        <v>0</v>
      </c>
      <c r="X278" s="331">
        <f>+IF(SUM($F344:W344)&gt;=X409*$F$9,0,X344)</f>
        <v>0</v>
      </c>
      <c r="Y278" s="331">
        <f>+IF(SUM($F344:X344)&gt;=Y409*$F$9,0,Y344)</f>
        <v>0</v>
      </c>
      <c r="Z278" s="331">
        <f>+IF(SUM($F344:Y344)&gt;=Z409*$F$9,0,Z344)</f>
        <v>0</v>
      </c>
      <c r="AA278" s="331">
        <f>+IF(SUM($F344:Z344)&gt;=AA409*$F$9,0,AA344)</f>
        <v>0</v>
      </c>
      <c r="AB278" s="331">
        <f>+IF(SUM($F344:AA344)&gt;=AB409*$F$9,0,AB344)</f>
        <v>0</v>
      </c>
      <c r="AC278" s="331">
        <f>+IF(SUM($F344:AB344)&gt;=AC409*$F$9,0,AC344)</f>
        <v>0</v>
      </c>
      <c r="AD278" s="331">
        <f>+IF(SUM($F344:AC344)&gt;=AD409*$F$9,0,AD344)</f>
        <v>0</v>
      </c>
      <c r="AE278" s="331">
        <f>+IF(SUM($F344:AD344)&gt;=AE409*$F$9,0,AE344)</f>
        <v>0</v>
      </c>
      <c r="AF278" s="331">
        <f>+IF(SUM($F344:AE344)&gt;=AF409*$F$9,0,AF344)</f>
        <v>0</v>
      </c>
      <c r="AG278" s="331">
        <f>+IF(SUM($F344:AF344)&gt;=AG409*$F$9,0,AG344)</f>
        <v>0</v>
      </c>
      <c r="AH278" s="331">
        <f>+IF(SUM($F344:AG344)&gt;=AH409*$F$9,0,AH344)</f>
        <v>0</v>
      </c>
      <c r="AI278" s="331">
        <f>+IF(SUM($F344:AH344)&gt;=AI409*$F$9,0,AI344)</f>
        <v>0</v>
      </c>
      <c r="AJ278" s="331">
        <f>+IF(SUM($F344:AI344)&gt;=AJ409*$F$9,0,AJ344)</f>
        <v>0</v>
      </c>
      <c r="AK278" s="331">
        <f>+IF(SUM($F344:AJ344)&gt;=AK409*$F$9,0,AK344)</f>
        <v>0</v>
      </c>
      <c r="AL278" s="331">
        <f>+IF(SUM($F344:AK344)&gt;=AL409*$F$9,0,AL344)</f>
        <v>0</v>
      </c>
      <c r="AM278" s="331">
        <f>+IF(SUM($F344:AL344)&gt;=AM409*$F$9,0,AM344)</f>
        <v>0</v>
      </c>
      <c r="AN278" s="331">
        <f>+IF(SUM($F344:AM344)&gt;=AN409*$F$9,0,AN344)</f>
        <v>0</v>
      </c>
      <c r="AO278" s="331">
        <f>+IF(SUM($F344:AN344)&gt;=AO409*$F$9,0,AO344)</f>
        <v>0</v>
      </c>
      <c r="AP278" s="331">
        <f>+IF(SUM($F344:AO344)&gt;=AP409*$F$9,0,AP344)</f>
        <v>0</v>
      </c>
      <c r="AQ278" s="331">
        <f>+IF(SUM($F344:AP344)&gt;=AQ409*$F$9,0,AQ344)</f>
        <v>0</v>
      </c>
      <c r="AR278" s="331">
        <f>+IF(SUM($F344:AQ344)&gt;=AR409*$F$9,0,AR344)</f>
        <v>0</v>
      </c>
      <c r="AS278" s="331">
        <f>+IF(SUM($F344:AR344)&gt;=AS409*$F$9,0,AS344)</f>
        <v>0</v>
      </c>
      <c r="AT278" s="331">
        <f>+IF(SUM($F344:AS344)&gt;=AT409*$F$9,0,AT344)</f>
        <v>0</v>
      </c>
      <c r="AU278" s="331">
        <f>+IF(SUM($F344:AT344)&gt;=AU409*$F$9,0,AU344)</f>
        <v>0</v>
      </c>
      <c r="AV278" s="331">
        <f>+IF(SUM($F344:AU344)&gt;=AV409*$F$9,0,AV344)</f>
        <v>0</v>
      </c>
      <c r="AW278" s="331">
        <f>+IF(SUM($F344:AV344)&gt;=AW409*$F$9,0,AW344)</f>
        <v>0</v>
      </c>
      <c r="AX278" s="331">
        <f>+IF(SUM($F344:AW344)&gt;=AX409*$F$9,0,AX344)</f>
        <v>0</v>
      </c>
      <c r="AY278" s="331">
        <f>+IF(SUM($F344:AX344)&gt;=AY409*$F$9,0,AY344)</f>
        <v>0</v>
      </c>
      <c r="AZ278" s="331">
        <f>+IF(SUM($F344:AY344)&gt;=AZ409*$F$9,0,AZ344)</f>
        <v>0</v>
      </c>
      <c r="BA278" s="331">
        <f>+IF(SUM($F344:AZ344)&gt;=BA409*$F$9,0,BA344)</f>
        <v>0</v>
      </c>
      <c r="BB278" s="331">
        <f>+IF(SUM($F344:BA344)&gt;=BB409*$F$9,0,BB344)</f>
        <v>0</v>
      </c>
      <c r="BC278" s="331">
        <f>+IF(SUM($F344:BB344)&gt;=BC409*$F$9,0,BC344)</f>
        <v>0</v>
      </c>
      <c r="BD278" s="331">
        <f>+IF(SUM($F344:BC344)&gt;=BD409*$F$9,0,BD344)</f>
        <v>0</v>
      </c>
      <c r="BE278" s="331">
        <f>+IF(SUM($F344:BD344)&gt;=BE409*$F$9,0,BE344)</f>
        <v>0</v>
      </c>
      <c r="BF278" s="331">
        <f>+IF(SUM($F344:BE344)&gt;=BF409*$F$9,0,BF344)</f>
        <v>0</v>
      </c>
      <c r="BG278" s="331">
        <f>+IF(SUM($F344:BF344)&gt;=BG409*$F$9,0,BG344)</f>
        <v>0</v>
      </c>
      <c r="BH278" s="331">
        <f>+IF(SUM($F344:BG344)&gt;=BH409*$F$9,0,BH344)</f>
        <v>0</v>
      </c>
      <c r="BI278" s="331">
        <f>+IF(SUM($F344:BH344)&gt;=BI409*$F$9,0,BI344)</f>
        <v>0</v>
      </c>
      <c r="BJ278" s="331">
        <f>+IF(SUM($F344:BI344)&gt;=BJ409*$F$9,0,BJ344)</f>
        <v>0</v>
      </c>
      <c r="BK278" s="331">
        <f>+IF(SUM($F344:BJ344)&gt;=BK409*$F$9,0,BK344)</f>
        <v>0</v>
      </c>
      <c r="BL278" s="331">
        <f>+IF(SUM($F344:BK344)&gt;=BL409*$F$9,0,BL344)</f>
        <v>0</v>
      </c>
      <c r="BM278" s="331">
        <f>+IF(SUM($F344:BL344)&gt;=BM409*$F$9,0,BM344)</f>
        <v>0</v>
      </c>
    </row>
    <row r="279" spans="5:65" ht="15.75">
      <c r="E279" s="416">
        <f t="shared" si="193"/>
        <v>43621</v>
      </c>
      <c r="F279" s="331">
        <f t="shared" si="192"/>
        <v>0</v>
      </c>
      <c r="G279" s="331">
        <f>+IF(SUM($F345:F345)&gt;=G410*$F$9,0,G345)</f>
        <v>0</v>
      </c>
      <c r="H279" s="331">
        <f>+IF(SUM($F345:G345)&gt;=H410*$F$9,0,H345)</f>
        <v>0</v>
      </c>
      <c r="I279" s="331">
        <f>+IF(SUM($F345:H345)&gt;=I410*$F$9,0,I345)</f>
        <v>0</v>
      </c>
      <c r="J279" s="331">
        <f>+IF(SUM($F345:I345)&gt;=J410*$F$9,0,J345)</f>
        <v>0</v>
      </c>
      <c r="K279" s="331">
        <f>+IF(SUM($F345:J345)&gt;=K410*$F$9,0,K345)</f>
        <v>0</v>
      </c>
      <c r="L279" s="331">
        <f>+IF(SUM($F345:K345)&gt;=L410*$F$9,0,L345)</f>
        <v>0</v>
      </c>
      <c r="M279" s="331">
        <f>+IF(SUM($F345:L345)&gt;=M410*$F$9,0,M345)</f>
        <v>0</v>
      </c>
      <c r="N279" s="331">
        <f>+IF(SUM($F345:M345)&gt;=N410*$F$9,0,N345)</f>
        <v>0</v>
      </c>
      <c r="O279" s="331">
        <f>+IF(SUM($F345:N345)&gt;=O410*$F$9,0,O345)</f>
        <v>0</v>
      </c>
      <c r="P279" s="331">
        <f>+IF(SUM($F345:O345)&gt;=P410*$F$9,0,P345)</f>
        <v>0</v>
      </c>
      <c r="Q279" s="331">
        <f>+IF(SUM($F345:P345)&gt;=Q410*$F$9,0,Q345)</f>
        <v>0</v>
      </c>
      <c r="R279" s="331">
        <f>+IF(SUM($F345:Q345)&gt;=R410*$F$9,0,R345)</f>
        <v>0</v>
      </c>
      <c r="S279" s="331">
        <f>+IF(SUM($F345:R345)&gt;=S410*$F$9,0,S345)</f>
        <v>0</v>
      </c>
      <c r="T279" s="331">
        <f>+IF(SUM($F345:S345)&gt;=T410*$F$9,0,T345)</f>
        <v>0</v>
      </c>
      <c r="U279" s="331">
        <f>+IF(SUM($F345:T345)&gt;=U410*$F$9,0,U345)</f>
        <v>0</v>
      </c>
      <c r="V279" s="331">
        <f>+IF(SUM($F345:U345)&gt;=V410*$F$9,0,V345)</f>
        <v>0</v>
      </c>
      <c r="W279" s="331">
        <f>+IF(SUM($F345:V345)&gt;=W410*$F$9,0,W345)</f>
        <v>0</v>
      </c>
      <c r="X279" s="331">
        <f>+IF(SUM($F345:W345)&gt;=X410*$F$9,0,X345)</f>
        <v>0</v>
      </c>
      <c r="Y279" s="331">
        <f>+IF(SUM($F345:X345)&gt;=Y410*$F$9,0,Y345)</f>
        <v>0</v>
      </c>
      <c r="Z279" s="331">
        <f>+IF(SUM($F345:Y345)&gt;=Z410*$F$9,0,Z345)</f>
        <v>0</v>
      </c>
      <c r="AA279" s="331">
        <f>+IF(SUM($F345:Z345)&gt;=AA410*$F$9,0,AA345)</f>
        <v>0</v>
      </c>
      <c r="AB279" s="331">
        <f>+IF(SUM($F345:AA345)&gt;=AB410*$F$9,0,AB345)</f>
        <v>0</v>
      </c>
      <c r="AC279" s="331">
        <f>+IF(SUM($F345:AB345)&gt;=AC410*$F$9,0,AC345)</f>
        <v>0</v>
      </c>
      <c r="AD279" s="331">
        <f>+IF(SUM($F345:AC345)&gt;=AD410*$F$9,0,AD345)</f>
        <v>0</v>
      </c>
      <c r="AE279" s="331">
        <f>+IF(SUM($F345:AD345)&gt;=AE410*$F$9,0,AE345)</f>
        <v>0</v>
      </c>
      <c r="AF279" s="331">
        <f>+IF(SUM($F345:AE345)&gt;=AF410*$F$9,0,AF345)</f>
        <v>0</v>
      </c>
      <c r="AG279" s="331">
        <f>+IF(SUM($F345:AF345)&gt;=AG410*$F$9,0,AG345)</f>
        <v>0</v>
      </c>
      <c r="AH279" s="331">
        <f>+IF(SUM($F345:AG345)&gt;=AH410*$F$9,0,AH345)</f>
        <v>0</v>
      </c>
      <c r="AI279" s="331">
        <f>+IF(SUM($F345:AH345)&gt;=AI410*$F$9,0,AI345)</f>
        <v>0</v>
      </c>
      <c r="AJ279" s="331">
        <f>+IF(SUM($F345:AI345)&gt;=AJ410*$F$9,0,AJ345)</f>
        <v>0</v>
      </c>
      <c r="AK279" s="331">
        <f>+IF(SUM($F345:AJ345)&gt;=AK410*$F$9,0,AK345)</f>
        <v>0</v>
      </c>
      <c r="AL279" s="331">
        <f>+IF(SUM($F345:AK345)&gt;=AL410*$F$9,0,AL345)</f>
        <v>0</v>
      </c>
      <c r="AM279" s="331">
        <f>+IF(SUM($F345:AL345)&gt;=AM410*$F$9,0,AM345)</f>
        <v>0</v>
      </c>
      <c r="AN279" s="331">
        <f>+IF(SUM($F345:AM345)&gt;=AN410*$F$9,0,AN345)</f>
        <v>0</v>
      </c>
      <c r="AO279" s="331">
        <f>+IF(SUM($F345:AN345)&gt;=AO410*$F$9,0,AO345)</f>
        <v>0</v>
      </c>
      <c r="AP279" s="331">
        <f>+IF(SUM($F345:AO345)&gt;=AP410*$F$9,0,AP345)</f>
        <v>0</v>
      </c>
      <c r="AQ279" s="331">
        <f>+IF(SUM($F345:AP345)&gt;=AQ410*$F$9,0,AQ345)</f>
        <v>0</v>
      </c>
      <c r="AR279" s="331">
        <f>+IF(SUM($F345:AQ345)&gt;=AR410*$F$9,0,AR345)</f>
        <v>0</v>
      </c>
      <c r="AS279" s="331">
        <f>+IF(SUM($F345:AR345)&gt;=AS410*$F$9,0,AS345)</f>
        <v>0</v>
      </c>
      <c r="AT279" s="331">
        <f>+IF(SUM($F345:AS345)&gt;=AT410*$F$9,0,AT345)</f>
        <v>0</v>
      </c>
      <c r="AU279" s="331">
        <f>+IF(SUM($F345:AT345)&gt;=AU410*$F$9,0,AU345)</f>
        <v>0</v>
      </c>
      <c r="AV279" s="331">
        <f>+IF(SUM($F345:AU345)&gt;=AV410*$F$9,0,AV345)</f>
        <v>0</v>
      </c>
      <c r="AW279" s="331">
        <f>+IF(SUM($F345:AV345)&gt;=AW410*$F$9,0,AW345)</f>
        <v>0</v>
      </c>
      <c r="AX279" s="331">
        <f>+IF(SUM($F345:AW345)&gt;=AX410*$F$9,0,AX345)</f>
        <v>0</v>
      </c>
      <c r="AY279" s="331">
        <f>+IF(SUM($F345:AX345)&gt;=AY410*$F$9,0,AY345)</f>
        <v>0</v>
      </c>
      <c r="AZ279" s="331">
        <f>+IF(SUM($F345:AY345)&gt;=AZ410*$F$9,0,AZ345)</f>
        <v>0</v>
      </c>
      <c r="BA279" s="331">
        <f>+IF(SUM($F345:AZ345)&gt;=BA410*$F$9,0,BA345)</f>
        <v>0</v>
      </c>
      <c r="BB279" s="331">
        <f>+IF(SUM($F345:BA345)&gt;=BB410*$F$9,0,BB345)</f>
        <v>0</v>
      </c>
      <c r="BC279" s="331">
        <f>+IF(SUM($F345:BB345)&gt;=BC410*$F$9,0,BC345)</f>
        <v>0</v>
      </c>
      <c r="BD279" s="331">
        <f>+IF(SUM($F345:BC345)&gt;=BD410*$F$9,0,BD345)</f>
        <v>0</v>
      </c>
      <c r="BE279" s="331">
        <f>+IF(SUM($F345:BD345)&gt;=BE410*$F$9,0,BE345)</f>
        <v>0</v>
      </c>
      <c r="BF279" s="331">
        <f>+IF(SUM($F345:BE345)&gt;=BF410*$F$9,0,BF345)</f>
        <v>0</v>
      </c>
      <c r="BG279" s="331">
        <f>+IF(SUM($F345:BF345)&gt;=BG410*$F$9,0,BG345)</f>
        <v>0</v>
      </c>
      <c r="BH279" s="331">
        <f>+IF(SUM($F345:BG345)&gt;=BH410*$F$9,0,BH345)</f>
        <v>0</v>
      </c>
      <c r="BI279" s="331">
        <f>+IF(SUM($F345:BH345)&gt;=BI410*$F$9,0,BI345)</f>
        <v>0</v>
      </c>
      <c r="BJ279" s="331">
        <f>+IF(SUM($F345:BI345)&gt;=BJ410*$F$9,0,BJ345)</f>
        <v>0</v>
      </c>
      <c r="BK279" s="331">
        <f>+IF(SUM($F345:BJ345)&gt;=BK410*$F$9,0,BK345)</f>
        <v>0</v>
      </c>
      <c r="BL279" s="331">
        <f>+IF(SUM($F345:BK345)&gt;=BL410*$F$9,0,BL345)</f>
        <v>0</v>
      </c>
      <c r="BM279" s="331">
        <f>+IF(SUM($F345:BL345)&gt;=BM410*$F$9,0,BM345)</f>
        <v>0</v>
      </c>
    </row>
    <row r="280" spans="5:65" ht="15.75">
      <c r="E280" s="416">
        <f t="shared" si="193"/>
        <v>43652</v>
      </c>
      <c r="F280" s="331">
        <f t="shared" si="192"/>
        <v>0</v>
      </c>
      <c r="G280" s="331">
        <f>+IF(SUM($F346:F346)&gt;=G411*$F$9,0,G346)</f>
        <v>0</v>
      </c>
      <c r="H280" s="331">
        <f>+IF(SUM($F346:G346)&gt;=H411*$F$9,0,H346)</f>
        <v>0</v>
      </c>
      <c r="I280" s="331">
        <f>+IF(SUM($F346:H346)&gt;=I411*$F$9,0,I346)</f>
        <v>0</v>
      </c>
      <c r="J280" s="331">
        <f>+IF(SUM($F346:I346)&gt;=J411*$F$9,0,J346)</f>
        <v>0</v>
      </c>
      <c r="K280" s="331">
        <f>+IF(SUM($F346:J346)&gt;=K411*$F$9,0,K346)</f>
        <v>0</v>
      </c>
      <c r="L280" s="331">
        <f>+IF(SUM($F346:K346)&gt;=L411*$F$9,0,L346)</f>
        <v>0</v>
      </c>
      <c r="M280" s="331">
        <f>+IF(SUM($F346:L346)&gt;=M411*$F$9,0,M346)</f>
        <v>0</v>
      </c>
      <c r="N280" s="331">
        <f>+IF(SUM($F346:M346)&gt;=N411*$F$9,0,N346)</f>
        <v>0</v>
      </c>
      <c r="O280" s="331">
        <f>+IF(SUM($F346:N346)&gt;=O411*$F$9,0,O346)</f>
        <v>0</v>
      </c>
      <c r="P280" s="331">
        <f>+IF(SUM($F346:O346)&gt;=P411*$F$9,0,P346)</f>
        <v>0</v>
      </c>
      <c r="Q280" s="331">
        <f>+IF(SUM($F346:P346)&gt;=Q411*$F$9,0,Q346)</f>
        <v>0</v>
      </c>
      <c r="R280" s="331">
        <f>+IF(SUM($F346:Q346)&gt;=R411*$F$9,0,R346)</f>
        <v>0</v>
      </c>
      <c r="S280" s="331">
        <f>+IF(SUM($F346:R346)&gt;=S411*$F$9,0,S346)</f>
        <v>0</v>
      </c>
      <c r="T280" s="331">
        <f>+IF(SUM($F346:S346)&gt;=T411*$F$9,0,T346)</f>
        <v>0</v>
      </c>
      <c r="U280" s="331">
        <f>+IF(SUM($F346:T346)&gt;=U411*$F$9,0,U346)</f>
        <v>0</v>
      </c>
      <c r="V280" s="331">
        <f>+IF(SUM($F346:U346)&gt;=V411*$F$9,0,V346)</f>
        <v>0</v>
      </c>
      <c r="W280" s="331">
        <f>+IF(SUM($F346:V346)&gt;=W411*$F$9,0,W346)</f>
        <v>0</v>
      </c>
      <c r="X280" s="331">
        <f>+IF(SUM($F346:W346)&gt;=X411*$F$9,0,X346)</f>
        <v>0</v>
      </c>
      <c r="Y280" s="331">
        <f>+IF(SUM($F346:X346)&gt;=Y411*$F$9,0,Y346)</f>
        <v>0</v>
      </c>
      <c r="Z280" s="331">
        <f>+IF(SUM($F346:Y346)&gt;=Z411*$F$9,0,Z346)</f>
        <v>0</v>
      </c>
      <c r="AA280" s="331">
        <f>+IF(SUM($F346:Z346)&gt;=AA411*$F$9,0,AA346)</f>
        <v>0</v>
      </c>
      <c r="AB280" s="331">
        <f>+IF(SUM($F346:AA346)&gt;=AB411*$F$9,0,AB346)</f>
        <v>0</v>
      </c>
      <c r="AC280" s="331">
        <f>+IF(SUM($F346:AB346)&gt;=AC411*$F$9,0,AC346)</f>
        <v>0</v>
      </c>
      <c r="AD280" s="331">
        <f>+IF(SUM($F346:AC346)&gt;=AD411*$F$9,0,AD346)</f>
        <v>0</v>
      </c>
      <c r="AE280" s="331">
        <f>+IF(SUM($F346:AD346)&gt;=AE411*$F$9,0,AE346)</f>
        <v>0</v>
      </c>
      <c r="AF280" s="331">
        <f>+IF(SUM($F346:AE346)&gt;=AF411*$F$9,0,AF346)</f>
        <v>0</v>
      </c>
      <c r="AG280" s="331">
        <f>+IF(SUM($F346:AF346)&gt;=AG411*$F$9,0,AG346)</f>
        <v>0</v>
      </c>
      <c r="AH280" s="331">
        <f>+IF(SUM($F346:AG346)&gt;=AH411*$F$9,0,AH346)</f>
        <v>0</v>
      </c>
      <c r="AI280" s="331">
        <f>+IF(SUM($F346:AH346)&gt;=AI411*$F$9,0,AI346)</f>
        <v>0</v>
      </c>
      <c r="AJ280" s="331">
        <f>+IF(SUM($F346:AI346)&gt;=AJ411*$F$9,0,AJ346)</f>
        <v>0</v>
      </c>
      <c r="AK280" s="331">
        <f>+IF(SUM($F346:AJ346)&gt;=AK411*$F$9,0,AK346)</f>
        <v>0</v>
      </c>
      <c r="AL280" s="331">
        <f>+IF(SUM($F346:AK346)&gt;=AL411*$F$9,0,AL346)</f>
        <v>0</v>
      </c>
      <c r="AM280" s="331">
        <f>+IF(SUM($F346:AL346)&gt;=AM411*$F$9,0,AM346)</f>
        <v>0</v>
      </c>
      <c r="AN280" s="331">
        <f>+IF(SUM($F346:AM346)&gt;=AN411*$F$9,0,AN346)</f>
        <v>0</v>
      </c>
      <c r="AO280" s="331">
        <f>+IF(SUM($F346:AN346)&gt;=AO411*$F$9,0,AO346)</f>
        <v>0</v>
      </c>
      <c r="AP280" s="331">
        <f>+IF(SUM($F346:AO346)&gt;=AP411*$F$9,0,AP346)</f>
        <v>0</v>
      </c>
      <c r="AQ280" s="331">
        <f>+IF(SUM($F346:AP346)&gt;=AQ411*$F$9,0,AQ346)</f>
        <v>0</v>
      </c>
      <c r="AR280" s="331">
        <f>+IF(SUM($F346:AQ346)&gt;=AR411*$F$9,0,AR346)</f>
        <v>0</v>
      </c>
      <c r="AS280" s="331">
        <f>+IF(SUM($F346:AR346)&gt;=AS411*$F$9,0,AS346)</f>
        <v>0</v>
      </c>
      <c r="AT280" s="331">
        <f>+IF(SUM($F346:AS346)&gt;=AT411*$F$9,0,AT346)</f>
        <v>0</v>
      </c>
      <c r="AU280" s="331">
        <f>+IF(SUM($F346:AT346)&gt;=AU411*$F$9,0,AU346)</f>
        <v>0</v>
      </c>
      <c r="AV280" s="331">
        <f>+IF(SUM($F346:AU346)&gt;=AV411*$F$9,0,AV346)</f>
        <v>0</v>
      </c>
      <c r="AW280" s="331">
        <f>+IF(SUM($F346:AV346)&gt;=AW411*$F$9,0,AW346)</f>
        <v>0</v>
      </c>
      <c r="AX280" s="331">
        <f>+IF(SUM($F346:AW346)&gt;=AX411*$F$9,0,AX346)</f>
        <v>0</v>
      </c>
      <c r="AY280" s="331">
        <f>+IF(SUM($F346:AX346)&gt;=AY411*$F$9,0,AY346)</f>
        <v>0</v>
      </c>
      <c r="AZ280" s="331">
        <f>+IF(SUM($F346:AY346)&gt;=AZ411*$F$9,0,AZ346)</f>
        <v>0</v>
      </c>
      <c r="BA280" s="331">
        <f>+IF(SUM($F346:AZ346)&gt;=BA411*$F$9,0,BA346)</f>
        <v>0</v>
      </c>
      <c r="BB280" s="331">
        <f>+IF(SUM($F346:BA346)&gt;=BB411*$F$9,0,BB346)</f>
        <v>0</v>
      </c>
      <c r="BC280" s="331">
        <f>+IF(SUM($F346:BB346)&gt;=BC411*$F$9,0,BC346)</f>
        <v>0</v>
      </c>
      <c r="BD280" s="331">
        <f>+IF(SUM($F346:BC346)&gt;=BD411*$F$9,0,BD346)</f>
        <v>0</v>
      </c>
      <c r="BE280" s="331">
        <f>+IF(SUM($F346:BD346)&gt;=BE411*$F$9,0,BE346)</f>
        <v>0</v>
      </c>
      <c r="BF280" s="331">
        <f>+IF(SUM($F346:BE346)&gt;=BF411*$F$9,0,BF346)</f>
        <v>0</v>
      </c>
      <c r="BG280" s="331">
        <f>+IF(SUM($F346:BF346)&gt;=BG411*$F$9,0,BG346)</f>
        <v>0</v>
      </c>
      <c r="BH280" s="331">
        <f>+IF(SUM($F346:BG346)&gt;=BH411*$F$9,0,BH346)</f>
        <v>0</v>
      </c>
      <c r="BI280" s="331">
        <f>+IF(SUM($F346:BH346)&gt;=BI411*$F$9,0,BI346)</f>
        <v>0</v>
      </c>
      <c r="BJ280" s="331">
        <f>+IF(SUM($F346:BI346)&gt;=BJ411*$F$9,0,BJ346)</f>
        <v>0</v>
      </c>
      <c r="BK280" s="331">
        <f>+IF(SUM($F346:BJ346)&gt;=BK411*$F$9,0,BK346)</f>
        <v>0</v>
      </c>
      <c r="BL280" s="331">
        <f>+IF(SUM($F346:BK346)&gt;=BL411*$F$9,0,BL346)</f>
        <v>0</v>
      </c>
      <c r="BM280" s="331">
        <f>+IF(SUM($F346:BL346)&gt;=BM411*$F$9,0,BM346)</f>
        <v>0</v>
      </c>
    </row>
    <row r="281" spans="5:65" ht="15.75">
      <c r="E281" s="416">
        <f t="shared" si="193"/>
        <v>43683</v>
      </c>
      <c r="F281" s="331">
        <f t="shared" si="192"/>
        <v>0</v>
      </c>
      <c r="G281" s="331">
        <f>+IF(SUM($F347:F347)&gt;=G412*$F$9,0,G347)</f>
        <v>0</v>
      </c>
      <c r="H281" s="331">
        <f>+IF(SUM($F347:G347)&gt;=H412*$F$9,0,H347)</f>
        <v>0</v>
      </c>
      <c r="I281" s="331">
        <f>+IF(SUM($F347:H347)&gt;=I412*$F$9,0,I347)</f>
        <v>0</v>
      </c>
      <c r="J281" s="331">
        <f>+IF(SUM($F347:I347)&gt;=J412*$F$9,0,J347)</f>
        <v>0</v>
      </c>
      <c r="K281" s="331">
        <f>+IF(SUM($F347:J347)&gt;=K412*$F$9,0,K347)</f>
        <v>0</v>
      </c>
      <c r="L281" s="331">
        <f>+IF(SUM($F347:K347)&gt;=L412*$F$9,0,L347)</f>
        <v>0</v>
      </c>
      <c r="M281" s="331">
        <f>+IF(SUM($F347:L347)&gt;=M412*$F$9,0,M347)</f>
        <v>0</v>
      </c>
      <c r="N281" s="331">
        <f>+IF(SUM($F347:M347)&gt;=N412*$F$9,0,N347)</f>
        <v>0</v>
      </c>
      <c r="O281" s="331">
        <f>+IF(SUM($F347:N347)&gt;=O412*$F$9,0,O347)</f>
        <v>0</v>
      </c>
      <c r="P281" s="331">
        <f>+IF(SUM($F347:O347)&gt;=P412*$F$9,0,P347)</f>
        <v>0</v>
      </c>
      <c r="Q281" s="331">
        <f>+IF(SUM($F347:P347)&gt;=Q412*$F$9,0,Q347)</f>
        <v>0</v>
      </c>
      <c r="R281" s="331">
        <f>+IF(SUM($F347:Q347)&gt;=R412*$F$9,0,R347)</f>
        <v>0</v>
      </c>
      <c r="S281" s="331">
        <f>+IF(SUM($F347:R347)&gt;=S412*$F$9,0,S347)</f>
        <v>0</v>
      </c>
      <c r="T281" s="331">
        <f>+IF(SUM($F347:S347)&gt;=T412*$F$9,0,T347)</f>
        <v>0</v>
      </c>
      <c r="U281" s="331">
        <f>+IF(SUM($F347:T347)&gt;=U412*$F$9,0,U347)</f>
        <v>0</v>
      </c>
      <c r="V281" s="331">
        <f>+IF(SUM($F347:U347)&gt;=V412*$F$9,0,V347)</f>
        <v>0</v>
      </c>
      <c r="W281" s="331">
        <f>+IF(SUM($F347:V347)&gt;=W412*$F$9,0,W347)</f>
        <v>0</v>
      </c>
      <c r="X281" s="331">
        <f>+IF(SUM($F347:W347)&gt;=X412*$F$9,0,X347)</f>
        <v>0</v>
      </c>
      <c r="Y281" s="331">
        <f>+IF(SUM($F347:X347)&gt;=Y412*$F$9,0,Y347)</f>
        <v>0</v>
      </c>
      <c r="Z281" s="331">
        <f>+IF(SUM($F347:Y347)&gt;=Z412*$F$9,0,Z347)</f>
        <v>0</v>
      </c>
      <c r="AA281" s="331">
        <f>+IF(SUM($F347:Z347)&gt;=AA412*$F$9,0,AA347)</f>
        <v>0</v>
      </c>
      <c r="AB281" s="331">
        <f>+IF(SUM($F347:AA347)&gt;=AB412*$F$9,0,AB347)</f>
        <v>0</v>
      </c>
      <c r="AC281" s="331">
        <f>+IF(SUM($F347:AB347)&gt;=AC412*$F$9,0,AC347)</f>
        <v>0</v>
      </c>
      <c r="AD281" s="331">
        <f>+IF(SUM($F347:AC347)&gt;=AD412*$F$9,0,AD347)</f>
        <v>0</v>
      </c>
      <c r="AE281" s="331">
        <f>+IF(SUM($F347:AD347)&gt;=AE412*$F$9,0,AE347)</f>
        <v>0</v>
      </c>
      <c r="AF281" s="331">
        <f>+IF(SUM($F347:AE347)&gt;=AF412*$F$9,0,AF347)</f>
        <v>0</v>
      </c>
      <c r="AG281" s="331">
        <f>+IF(SUM($F347:AF347)&gt;=AG412*$F$9,0,AG347)</f>
        <v>0</v>
      </c>
      <c r="AH281" s="331">
        <f>+IF(SUM($F347:AG347)&gt;=AH412*$F$9,0,AH347)</f>
        <v>0</v>
      </c>
      <c r="AI281" s="331">
        <f>+IF(SUM($F347:AH347)&gt;=AI412*$F$9,0,AI347)</f>
        <v>0</v>
      </c>
      <c r="AJ281" s="331">
        <f>+IF(SUM($F347:AI347)&gt;=AJ412*$F$9,0,AJ347)</f>
        <v>0</v>
      </c>
      <c r="AK281" s="331">
        <f>+IF(SUM($F347:AJ347)&gt;=AK412*$F$9,0,AK347)</f>
        <v>0</v>
      </c>
      <c r="AL281" s="331">
        <f>+IF(SUM($F347:AK347)&gt;=AL412*$F$9,0,AL347)</f>
        <v>0</v>
      </c>
      <c r="AM281" s="331">
        <f>+IF(SUM($F347:AL347)&gt;=AM412*$F$9,0,AM347)</f>
        <v>0</v>
      </c>
      <c r="AN281" s="331">
        <f>+IF(SUM($F347:AM347)&gt;=AN412*$F$9,0,AN347)</f>
        <v>0</v>
      </c>
      <c r="AO281" s="331">
        <f>+IF(SUM($F347:AN347)&gt;=AO412*$F$9,0,AO347)</f>
        <v>0</v>
      </c>
      <c r="AP281" s="331">
        <f>+IF(SUM($F347:AO347)&gt;=AP412*$F$9,0,AP347)</f>
        <v>0</v>
      </c>
      <c r="AQ281" s="331">
        <f>+IF(SUM($F347:AP347)&gt;=AQ412*$F$9,0,AQ347)</f>
        <v>0</v>
      </c>
      <c r="AR281" s="331">
        <f>+IF(SUM($F347:AQ347)&gt;=AR412*$F$9,0,AR347)</f>
        <v>0</v>
      </c>
      <c r="AS281" s="331">
        <f>+IF(SUM($F347:AR347)&gt;=AS412*$F$9,0,AS347)</f>
        <v>0</v>
      </c>
      <c r="AT281" s="331">
        <f>+IF(SUM($F347:AS347)&gt;=AT412*$F$9,0,AT347)</f>
        <v>0</v>
      </c>
      <c r="AU281" s="331">
        <f>+IF(SUM($F347:AT347)&gt;=AU412*$F$9,0,AU347)</f>
        <v>0</v>
      </c>
      <c r="AV281" s="331">
        <f>+IF(SUM($F347:AU347)&gt;=AV412*$F$9,0,AV347)</f>
        <v>0</v>
      </c>
      <c r="AW281" s="331">
        <f>+IF(SUM($F347:AV347)&gt;=AW412*$F$9,0,AW347)</f>
        <v>0</v>
      </c>
      <c r="AX281" s="331">
        <f>+IF(SUM($F347:AW347)&gt;=AX412*$F$9,0,AX347)</f>
        <v>0</v>
      </c>
      <c r="AY281" s="331">
        <f>+IF(SUM($F347:AX347)&gt;=AY412*$F$9,0,AY347)</f>
        <v>0</v>
      </c>
      <c r="AZ281" s="331">
        <f>+IF(SUM($F347:AY347)&gt;=AZ412*$F$9,0,AZ347)</f>
        <v>0</v>
      </c>
      <c r="BA281" s="331">
        <f>+IF(SUM($F347:AZ347)&gt;=BA412*$F$9,0,BA347)</f>
        <v>0</v>
      </c>
      <c r="BB281" s="331">
        <f>+IF(SUM($F347:BA347)&gt;=BB412*$F$9,0,BB347)</f>
        <v>0</v>
      </c>
      <c r="BC281" s="331">
        <f>+IF(SUM($F347:BB347)&gt;=BC412*$F$9,0,BC347)</f>
        <v>0</v>
      </c>
      <c r="BD281" s="331">
        <f>+IF(SUM($F347:BC347)&gt;=BD412*$F$9,0,BD347)</f>
        <v>0</v>
      </c>
      <c r="BE281" s="331">
        <f>+IF(SUM($F347:BD347)&gt;=BE412*$F$9,0,BE347)</f>
        <v>0</v>
      </c>
      <c r="BF281" s="331">
        <f>+IF(SUM($F347:BE347)&gt;=BF412*$F$9,0,BF347)</f>
        <v>0</v>
      </c>
      <c r="BG281" s="331">
        <f>+IF(SUM($F347:BF347)&gt;=BG412*$F$9,0,BG347)</f>
        <v>0</v>
      </c>
      <c r="BH281" s="331">
        <f>+IF(SUM($F347:BG347)&gt;=BH412*$F$9,0,BH347)</f>
        <v>0</v>
      </c>
      <c r="BI281" s="331">
        <f>+IF(SUM($F347:BH347)&gt;=BI412*$F$9,0,BI347)</f>
        <v>0</v>
      </c>
      <c r="BJ281" s="331">
        <f>+IF(SUM($F347:BI347)&gt;=BJ412*$F$9,0,BJ347)</f>
        <v>0</v>
      </c>
      <c r="BK281" s="331">
        <f>+IF(SUM($F347:BJ347)&gt;=BK412*$F$9,0,BK347)</f>
        <v>0</v>
      </c>
      <c r="BL281" s="331">
        <f>+IF(SUM($F347:BK347)&gt;=BL412*$F$9,0,BL347)</f>
        <v>0</v>
      </c>
      <c r="BM281" s="331">
        <f>+IF(SUM($F347:BL347)&gt;=BM412*$F$9,0,BM347)</f>
        <v>0</v>
      </c>
    </row>
    <row r="282" spans="5:65" ht="15.75">
      <c r="E282" s="416">
        <f t="shared" si="193"/>
        <v>43714</v>
      </c>
      <c r="F282" s="331">
        <f t="shared" si="192"/>
        <v>0</v>
      </c>
      <c r="G282" s="331">
        <f>+IF(SUM($F348:F348)&gt;=G413*$F$9,0,G348)</f>
        <v>0</v>
      </c>
      <c r="H282" s="331">
        <f>+IF(SUM($F348:G348)&gt;=H413*$F$9,0,H348)</f>
        <v>0</v>
      </c>
      <c r="I282" s="331">
        <f>+IF(SUM($F348:H348)&gt;=I413*$F$9,0,I348)</f>
        <v>0</v>
      </c>
      <c r="J282" s="331">
        <f>+IF(SUM($F348:I348)&gt;=J413*$F$9,0,J348)</f>
        <v>0</v>
      </c>
      <c r="K282" s="331">
        <f>+IF(SUM($F348:J348)&gt;=K413*$F$9,0,K348)</f>
        <v>0</v>
      </c>
      <c r="L282" s="331">
        <f>+IF(SUM($F348:K348)&gt;=L413*$F$9,0,L348)</f>
        <v>0</v>
      </c>
      <c r="M282" s="331">
        <f>+IF(SUM($F348:L348)&gt;=M413*$F$9,0,M348)</f>
        <v>0</v>
      </c>
      <c r="N282" s="331">
        <f>+IF(SUM($F348:M348)&gt;=N413*$F$9,0,N348)</f>
        <v>0</v>
      </c>
      <c r="O282" s="331">
        <f>+IF(SUM($F348:N348)&gt;=O413*$F$9,0,O348)</f>
        <v>0</v>
      </c>
      <c r="P282" s="331">
        <f>+IF(SUM($F348:O348)&gt;=P413*$F$9,0,P348)</f>
        <v>0</v>
      </c>
      <c r="Q282" s="331">
        <f>+IF(SUM($F348:P348)&gt;=Q413*$F$9,0,Q348)</f>
        <v>0</v>
      </c>
      <c r="R282" s="331">
        <f>+IF(SUM($F348:Q348)&gt;=R413*$F$9,0,R348)</f>
        <v>0</v>
      </c>
      <c r="S282" s="331">
        <f>+IF(SUM($F348:R348)&gt;=S413*$F$9,0,S348)</f>
        <v>0</v>
      </c>
      <c r="T282" s="331">
        <f>+IF(SUM($F348:S348)&gt;=T413*$F$9,0,T348)</f>
        <v>0</v>
      </c>
      <c r="U282" s="331">
        <f>+IF(SUM($F348:T348)&gt;=U413*$F$9,0,U348)</f>
        <v>0</v>
      </c>
      <c r="V282" s="331">
        <f>+IF(SUM($F348:U348)&gt;=V413*$F$9,0,V348)</f>
        <v>0</v>
      </c>
      <c r="W282" s="331">
        <f>+IF(SUM($F348:V348)&gt;=W413*$F$9,0,W348)</f>
        <v>0</v>
      </c>
      <c r="X282" s="331">
        <f>+IF(SUM($F348:W348)&gt;=X413*$F$9,0,X348)</f>
        <v>0</v>
      </c>
      <c r="Y282" s="331">
        <f>+IF(SUM($F348:X348)&gt;=Y413*$F$9,0,Y348)</f>
        <v>0</v>
      </c>
      <c r="Z282" s="331">
        <f>+IF(SUM($F348:Y348)&gt;=Z413*$F$9,0,Z348)</f>
        <v>0</v>
      </c>
      <c r="AA282" s="331">
        <f>+IF(SUM($F348:Z348)&gt;=AA413*$F$9,0,AA348)</f>
        <v>0</v>
      </c>
      <c r="AB282" s="331">
        <f>+IF(SUM($F348:AA348)&gt;=AB413*$F$9,0,AB348)</f>
        <v>0</v>
      </c>
      <c r="AC282" s="331">
        <f>+IF(SUM($F348:AB348)&gt;=AC413*$F$9,0,AC348)</f>
        <v>0</v>
      </c>
      <c r="AD282" s="331">
        <f>+IF(SUM($F348:AC348)&gt;=AD413*$F$9,0,AD348)</f>
        <v>0</v>
      </c>
      <c r="AE282" s="331">
        <f>+IF(SUM($F348:AD348)&gt;=AE413*$F$9,0,AE348)</f>
        <v>0</v>
      </c>
      <c r="AF282" s="331">
        <f>+IF(SUM($F348:AE348)&gt;=AF413*$F$9,0,AF348)</f>
        <v>0</v>
      </c>
      <c r="AG282" s="331">
        <f>+IF(SUM($F348:AF348)&gt;=AG413*$F$9,0,AG348)</f>
        <v>0</v>
      </c>
      <c r="AH282" s="331">
        <f>+IF(SUM($F348:AG348)&gt;=AH413*$F$9,0,AH348)</f>
        <v>0</v>
      </c>
      <c r="AI282" s="331">
        <f>+IF(SUM($F348:AH348)&gt;=AI413*$F$9,0,AI348)</f>
        <v>0</v>
      </c>
      <c r="AJ282" s="331">
        <f>+IF(SUM($F348:AI348)&gt;=AJ413*$F$9,0,AJ348)</f>
        <v>0</v>
      </c>
      <c r="AK282" s="331">
        <f>+IF(SUM($F348:AJ348)&gt;=AK413*$F$9,0,AK348)</f>
        <v>0</v>
      </c>
      <c r="AL282" s="331">
        <f>+IF(SUM($F348:AK348)&gt;=AL413*$F$9,0,AL348)</f>
        <v>0</v>
      </c>
      <c r="AM282" s="331">
        <f>+IF(SUM($F348:AL348)&gt;=AM413*$F$9,0,AM348)</f>
        <v>0</v>
      </c>
      <c r="AN282" s="331">
        <f>+IF(SUM($F348:AM348)&gt;=AN413*$F$9,0,AN348)</f>
        <v>0</v>
      </c>
      <c r="AO282" s="331">
        <f>+IF(SUM($F348:AN348)&gt;=AO413*$F$9,0,AO348)</f>
        <v>0</v>
      </c>
      <c r="AP282" s="331">
        <f>+IF(SUM($F348:AO348)&gt;=AP413*$F$9,0,AP348)</f>
        <v>0</v>
      </c>
      <c r="AQ282" s="331">
        <f>+IF(SUM($F348:AP348)&gt;=AQ413*$F$9,0,AQ348)</f>
        <v>0</v>
      </c>
      <c r="AR282" s="331">
        <f>+IF(SUM($F348:AQ348)&gt;=AR413*$F$9,0,AR348)</f>
        <v>0</v>
      </c>
      <c r="AS282" s="331">
        <f>+IF(SUM($F348:AR348)&gt;=AS413*$F$9,0,AS348)</f>
        <v>0</v>
      </c>
      <c r="AT282" s="331">
        <f>+IF(SUM($F348:AS348)&gt;=AT413*$F$9,0,AT348)</f>
        <v>0</v>
      </c>
      <c r="AU282" s="331">
        <f>+IF(SUM($F348:AT348)&gt;=AU413*$F$9,0,AU348)</f>
        <v>0</v>
      </c>
      <c r="AV282" s="331">
        <f>+IF(SUM($F348:AU348)&gt;=AV413*$F$9,0,AV348)</f>
        <v>0</v>
      </c>
      <c r="AW282" s="331">
        <f>+IF(SUM($F348:AV348)&gt;=AW413*$F$9,0,AW348)</f>
        <v>0</v>
      </c>
      <c r="AX282" s="331">
        <f>+IF(SUM($F348:AW348)&gt;=AX413*$F$9,0,AX348)</f>
        <v>0</v>
      </c>
      <c r="AY282" s="331">
        <f>+IF(SUM($F348:AX348)&gt;=AY413*$F$9,0,AY348)</f>
        <v>0</v>
      </c>
      <c r="AZ282" s="331">
        <f>+IF(SUM($F348:AY348)&gt;=AZ413*$F$9,0,AZ348)</f>
        <v>0</v>
      </c>
      <c r="BA282" s="331">
        <f>+IF(SUM($F348:AZ348)&gt;=BA413*$F$9,0,BA348)</f>
        <v>0</v>
      </c>
      <c r="BB282" s="331">
        <f>+IF(SUM($F348:BA348)&gt;=BB413*$F$9,0,BB348)</f>
        <v>0</v>
      </c>
      <c r="BC282" s="331">
        <f>+IF(SUM($F348:BB348)&gt;=BC413*$F$9,0,BC348)</f>
        <v>0</v>
      </c>
      <c r="BD282" s="331">
        <f>+IF(SUM($F348:BC348)&gt;=BD413*$F$9,0,BD348)</f>
        <v>0</v>
      </c>
      <c r="BE282" s="331">
        <f>+IF(SUM($F348:BD348)&gt;=BE413*$F$9,0,BE348)</f>
        <v>0</v>
      </c>
      <c r="BF282" s="331">
        <f>+IF(SUM($F348:BE348)&gt;=BF413*$F$9,0,BF348)</f>
        <v>0</v>
      </c>
      <c r="BG282" s="331">
        <f>+IF(SUM($F348:BF348)&gt;=BG413*$F$9,0,BG348)</f>
        <v>0</v>
      </c>
      <c r="BH282" s="331">
        <f>+IF(SUM($F348:BG348)&gt;=BH413*$F$9,0,BH348)</f>
        <v>0</v>
      </c>
      <c r="BI282" s="331">
        <f>+IF(SUM($F348:BH348)&gt;=BI413*$F$9,0,BI348)</f>
        <v>0</v>
      </c>
      <c r="BJ282" s="331">
        <f>+IF(SUM($F348:BI348)&gt;=BJ413*$F$9,0,BJ348)</f>
        <v>0</v>
      </c>
      <c r="BK282" s="331">
        <f>+IF(SUM($F348:BJ348)&gt;=BK413*$F$9,0,BK348)</f>
        <v>0</v>
      </c>
      <c r="BL282" s="331">
        <f>+IF(SUM($F348:BK348)&gt;=BL413*$F$9,0,BL348)</f>
        <v>0</v>
      </c>
      <c r="BM282" s="331">
        <f>+IF(SUM($F348:BL348)&gt;=BM413*$F$9,0,BM348)</f>
        <v>0</v>
      </c>
    </row>
    <row r="283" spans="5:65" ht="15.75">
      <c r="E283" s="416">
        <f t="shared" si="193"/>
        <v>43745</v>
      </c>
      <c r="F283" s="331">
        <f t="shared" si="192"/>
        <v>0</v>
      </c>
      <c r="G283" s="331">
        <f>+IF(SUM($F349:F349)&gt;=G414*$F$9,0,G349)</f>
        <v>0</v>
      </c>
      <c r="H283" s="331">
        <f>+IF(SUM($F349:G349)&gt;=H414*$F$9,0,H349)</f>
        <v>0</v>
      </c>
      <c r="I283" s="331">
        <f>+IF(SUM($F349:H349)&gt;=I414*$F$9,0,I349)</f>
        <v>0</v>
      </c>
      <c r="J283" s="331">
        <f>+IF(SUM($F349:I349)&gt;=J414*$F$9,0,J349)</f>
        <v>0</v>
      </c>
      <c r="K283" s="331">
        <f>+IF(SUM($F349:J349)&gt;=K414*$F$9,0,K349)</f>
        <v>0</v>
      </c>
      <c r="L283" s="331">
        <f>+IF(SUM($F349:K349)&gt;=L414*$F$9,0,L349)</f>
        <v>0</v>
      </c>
      <c r="M283" s="331">
        <f>+IF(SUM($F349:L349)&gt;=M414*$F$9,0,M349)</f>
        <v>0</v>
      </c>
      <c r="N283" s="331">
        <f>+IF(SUM($F349:M349)&gt;=N414*$F$9,0,N349)</f>
        <v>0</v>
      </c>
      <c r="O283" s="331">
        <f>+IF(SUM($F349:N349)&gt;=O414*$F$9,0,O349)</f>
        <v>0</v>
      </c>
      <c r="P283" s="331">
        <f>+IF(SUM($F349:O349)&gt;=P414*$F$9,0,P349)</f>
        <v>0</v>
      </c>
      <c r="Q283" s="331">
        <f>+IF(SUM($F349:P349)&gt;=Q414*$F$9,0,Q349)</f>
        <v>0</v>
      </c>
      <c r="R283" s="331">
        <f>+IF(SUM($F349:Q349)&gt;=R414*$F$9,0,R349)</f>
        <v>0</v>
      </c>
      <c r="S283" s="331">
        <f>+IF(SUM($F349:R349)&gt;=S414*$F$9,0,S349)</f>
        <v>0</v>
      </c>
      <c r="T283" s="331">
        <f>+IF(SUM($F349:S349)&gt;=T414*$F$9,0,T349)</f>
        <v>0</v>
      </c>
      <c r="U283" s="331">
        <f>+IF(SUM($F349:T349)&gt;=U414*$F$9,0,U349)</f>
        <v>0</v>
      </c>
      <c r="V283" s="331">
        <f>+IF(SUM($F349:U349)&gt;=V414*$F$9,0,V349)</f>
        <v>0</v>
      </c>
      <c r="W283" s="331">
        <f>+IF(SUM($F349:V349)&gt;=W414*$F$9,0,W349)</f>
        <v>0</v>
      </c>
      <c r="X283" s="331">
        <f>+IF(SUM($F349:W349)&gt;=X414*$F$9,0,X349)</f>
        <v>0</v>
      </c>
      <c r="Y283" s="331">
        <f>+IF(SUM($F349:X349)&gt;=Y414*$F$9,0,Y349)</f>
        <v>0</v>
      </c>
      <c r="Z283" s="331">
        <f>+IF(SUM($F349:Y349)&gt;=Z414*$F$9,0,Z349)</f>
        <v>0</v>
      </c>
      <c r="AA283" s="331">
        <f>+IF(SUM($F349:Z349)&gt;=AA414*$F$9,0,AA349)</f>
        <v>0</v>
      </c>
      <c r="AB283" s="331">
        <f>+IF(SUM($F349:AA349)&gt;=AB414*$F$9,0,AB349)</f>
        <v>0</v>
      </c>
      <c r="AC283" s="331">
        <f>+IF(SUM($F349:AB349)&gt;=AC414*$F$9,0,AC349)</f>
        <v>0</v>
      </c>
      <c r="AD283" s="331">
        <f>+IF(SUM($F349:AC349)&gt;=AD414*$F$9,0,AD349)</f>
        <v>0</v>
      </c>
      <c r="AE283" s="331">
        <f>+IF(SUM($F349:AD349)&gt;=AE414*$F$9,0,AE349)</f>
        <v>0</v>
      </c>
      <c r="AF283" s="331">
        <f>+IF(SUM($F349:AE349)&gt;=AF414*$F$9,0,AF349)</f>
        <v>0</v>
      </c>
      <c r="AG283" s="331">
        <f>+IF(SUM($F349:AF349)&gt;=AG414*$F$9,0,AG349)</f>
        <v>0</v>
      </c>
      <c r="AH283" s="331">
        <f>+IF(SUM($F349:AG349)&gt;=AH414*$F$9,0,AH349)</f>
        <v>0</v>
      </c>
      <c r="AI283" s="331">
        <f>+IF(SUM($F349:AH349)&gt;=AI414*$F$9,0,AI349)</f>
        <v>0</v>
      </c>
      <c r="AJ283" s="331">
        <f>+IF(SUM($F349:AI349)&gt;=AJ414*$F$9,0,AJ349)</f>
        <v>0</v>
      </c>
      <c r="AK283" s="331">
        <f>+IF(SUM($F349:AJ349)&gt;=AK414*$F$9,0,AK349)</f>
        <v>0</v>
      </c>
      <c r="AL283" s="331">
        <f>+IF(SUM($F349:AK349)&gt;=AL414*$F$9,0,AL349)</f>
        <v>0</v>
      </c>
      <c r="AM283" s="331">
        <f>+IF(SUM($F349:AL349)&gt;=AM414*$F$9,0,AM349)</f>
        <v>0</v>
      </c>
      <c r="AN283" s="331">
        <f>+IF(SUM($F349:AM349)&gt;=AN414*$F$9,0,AN349)</f>
        <v>0</v>
      </c>
      <c r="AO283" s="331">
        <f>+IF(SUM($F349:AN349)&gt;=AO414*$F$9,0,AO349)</f>
        <v>0</v>
      </c>
      <c r="AP283" s="331">
        <f>+IF(SUM($F349:AO349)&gt;=AP414*$F$9,0,AP349)</f>
        <v>0</v>
      </c>
      <c r="AQ283" s="331">
        <f>+IF(SUM($F349:AP349)&gt;=AQ414*$F$9,0,AQ349)</f>
        <v>0</v>
      </c>
      <c r="AR283" s="331">
        <f>+IF(SUM($F349:AQ349)&gt;=AR414*$F$9,0,AR349)</f>
        <v>0</v>
      </c>
      <c r="AS283" s="331">
        <f>+IF(SUM($F349:AR349)&gt;=AS414*$F$9,0,AS349)</f>
        <v>0</v>
      </c>
      <c r="AT283" s="331">
        <f>+IF(SUM($F349:AS349)&gt;=AT414*$F$9,0,AT349)</f>
        <v>0</v>
      </c>
      <c r="AU283" s="331">
        <f>+IF(SUM($F349:AT349)&gt;=AU414*$F$9,0,AU349)</f>
        <v>0</v>
      </c>
      <c r="AV283" s="331">
        <f>+IF(SUM($F349:AU349)&gt;=AV414*$F$9,0,AV349)</f>
        <v>0</v>
      </c>
      <c r="AW283" s="331">
        <f>+IF(SUM($F349:AV349)&gt;=AW414*$F$9,0,AW349)</f>
        <v>0</v>
      </c>
      <c r="AX283" s="331">
        <f>+IF(SUM($F349:AW349)&gt;=AX414*$F$9,0,AX349)</f>
        <v>0</v>
      </c>
      <c r="AY283" s="331">
        <f>+IF(SUM($F349:AX349)&gt;=AY414*$F$9,0,AY349)</f>
        <v>0</v>
      </c>
      <c r="AZ283" s="331">
        <f>+IF(SUM($F349:AY349)&gt;=AZ414*$F$9,0,AZ349)</f>
        <v>0</v>
      </c>
      <c r="BA283" s="331">
        <f>+IF(SUM($F349:AZ349)&gt;=BA414*$F$9,0,BA349)</f>
        <v>0</v>
      </c>
      <c r="BB283" s="331">
        <f>+IF(SUM($F349:BA349)&gt;=BB414*$F$9,0,BB349)</f>
        <v>0</v>
      </c>
      <c r="BC283" s="331">
        <f>+IF(SUM($F349:BB349)&gt;=BC414*$F$9,0,BC349)</f>
        <v>0</v>
      </c>
      <c r="BD283" s="331">
        <f>+IF(SUM($F349:BC349)&gt;=BD414*$F$9,0,BD349)</f>
        <v>0</v>
      </c>
      <c r="BE283" s="331">
        <f>+IF(SUM($F349:BD349)&gt;=BE414*$F$9,0,BE349)</f>
        <v>0</v>
      </c>
      <c r="BF283" s="331">
        <f>+IF(SUM($F349:BE349)&gt;=BF414*$F$9,0,BF349)</f>
        <v>0</v>
      </c>
      <c r="BG283" s="331">
        <f>+IF(SUM($F349:BF349)&gt;=BG414*$F$9,0,BG349)</f>
        <v>0</v>
      </c>
      <c r="BH283" s="331">
        <f>+IF(SUM($F349:BG349)&gt;=BH414*$F$9,0,BH349)</f>
        <v>0</v>
      </c>
      <c r="BI283" s="331">
        <f>+IF(SUM($F349:BH349)&gt;=BI414*$F$9,0,BI349)</f>
        <v>0</v>
      </c>
      <c r="BJ283" s="331">
        <f>+IF(SUM($F349:BI349)&gt;=BJ414*$F$9,0,BJ349)</f>
        <v>0</v>
      </c>
      <c r="BK283" s="331">
        <f>+IF(SUM($F349:BJ349)&gt;=BK414*$F$9,0,BK349)</f>
        <v>0</v>
      </c>
      <c r="BL283" s="331">
        <f>+IF(SUM($F349:BK349)&gt;=BL414*$F$9,0,BL349)</f>
        <v>0</v>
      </c>
      <c r="BM283" s="331">
        <f>+IF(SUM($F349:BL349)&gt;=BM414*$F$9,0,BM349)</f>
        <v>0</v>
      </c>
    </row>
    <row r="284" spans="2:65" ht="15.75">
      <c r="B284" s="218"/>
      <c r="E284" s="416">
        <f t="shared" si="193"/>
        <v>43776</v>
      </c>
      <c r="F284" s="331">
        <f t="shared" si="192"/>
        <v>0</v>
      </c>
      <c r="G284" s="331">
        <f>+IF(SUM($F350:F350)&gt;=G415*$F$9,0,G350)</f>
        <v>0</v>
      </c>
      <c r="H284" s="331">
        <f>+IF(SUM($F350:G350)&gt;=H415*$F$9,0,H350)</f>
        <v>0</v>
      </c>
      <c r="I284" s="331">
        <f>+IF(SUM($F350:H350)&gt;=I415*$F$9,0,I350)</f>
        <v>0</v>
      </c>
      <c r="J284" s="331">
        <f>+IF(SUM($F350:I350)&gt;=J415*$F$9,0,J350)</f>
        <v>0</v>
      </c>
      <c r="K284" s="331">
        <f>+IF(SUM($F350:J350)&gt;=K415*$F$9,0,K350)</f>
        <v>0</v>
      </c>
      <c r="L284" s="331">
        <f>+IF(SUM($F350:K350)&gt;=L415*$F$9,0,L350)</f>
        <v>0</v>
      </c>
      <c r="M284" s="331">
        <f>+IF(SUM($F350:L350)&gt;=M415*$F$9,0,M350)</f>
        <v>0</v>
      </c>
      <c r="N284" s="331">
        <f>+IF(SUM($F350:M350)&gt;=N415*$F$9,0,N350)</f>
        <v>0</v>
      </c>
      <c r="O284" s="331">
        <f>+IF(SUM($F350:N350)&gt;=O415*$F$9,0,O350)</f>
        <v>0</v>
      </c>
      <c r="P284" s="331">
        <f>+IF(SUM($F350:O350)&gt;=P415*$F$9,0,P350)</f>
        <v>0</v>
      </c>
      <c r="Q284" s="331">
        <f>+IF(SUM($F350:P350)&gt;=Q415*$F$9,0,Q350)</f>
        <v>0</v>
      </c>
      <c r="R284" s="331">
        <f>+IF(SUM($F350:Q350)&gt;=R415*$F$9,0,R350)</f>
        <v>0</v>
      </c>
      <c r="S284" s="331">
        <f>+IF(SUM($F350:R350)&gt;=S415*$F$9,0,S350)</f>
        <v>0</v>
      </c>
      <c r="T284" s="331">
        <f>+IF(SUM($F350:S350)&gt;=T415*$F$9,0,T350)</f>
        <v>0</v>
      </c>
      <c r="U284" s="331">
        <f>+IF(SUM($F350:T350)&gt;=U415*$F$9,0,U350)</f>
        <v>0</v>
      </c>
      <c r="V284" s="331">
        <f>+IF(SUM($F350:U350)&gt;=V415*$F$9,0,V350)</f>
        <v>0</v>
      </c>
      <c r="W284" s="331">
        <f>+IF(SUM($F350:V350)&gt;=W415*$F$9,0,W350)</f>
        <v>0</v>
      </c>
      <c r="X284" s="331">
        <f>+IF(SUM($F350:W350)&gt;=X415*$F$9,0,X350)</f>
        <v>0</v>
      </c>
      <c r="Y284" s="331">
        <f>+IF(SUM($F350:X350)&gt;=Y415*$F$9,0,Y350)</f>
        <v>0</v>
      </c>
      <c r="Z284" s="331">
        <f>+IF(SUM($F350:Y350)&gt;=Z415*$F$9,0,Z350)</f>
        <v>0</v>
      </c>
      <c r="AA284" s="331">
        <f>+IF(SUM($F350:Z350)&gt;=AA415*$F$9,0,AA350)</f>
        <v>0</v>
      </c>
      <c r="AB284" s="331">
        <f>+IF(SUM($F350:AA350)&gt;=AB415*$F$9,0,AB350)</f>
        <v>0</v>
      </c>
      <c r="AC284" s="331">
        <f>+IF(SUM($F350:AB350)&gt;=AC415*$F$9,0,AC350)</f>
        <v>0</v>
      </c>
      <c r="AD284" s="331">
        <f>+IF(SUM($F350:AC350)&gt;=AD415*$F$9,0,AD350)</f>
        <v>0</v>
      </c>
      <c r="AE284" s="331">
        <f>+IF(SUM($F350:AD350)&gt;=AE415*$F$9,0,AE350)</f>
        <v>0</v>
      </c>
      <c r="AF284" s="331">
        <f>+IF(SUM($F350:AE350)&gt;=AF415*$F$9,0,AF350)</f>
        <v>0</v>
      </c>
      <c r="AG284" s="331">
        <f>+IF(SUM($F350:AF350)&gt;=AG415*$F$9,0,AG350)</f>
        <v>0</v>
      </c>
      <c r="AH284" s="331">
        <f>+IF(SUM($F350:AG350)&gt;=AH415*$F$9,0,AH350)</f>
        <v>0</v>
      </c>
      <c r="AI284" s="331">
        <f>+IF(SUM($F350:AH350)&gt;=AI415*$F$9,0,AI350)</f>
        <v>0</v>
      </c>
      <c r="AJ284" s="331">
        <f>+IF(SUM($F350:AI350)&gt;=AJ415*$F$9,0,AJ350)</f>
        <v>0</v>
      </c>
      <c r="AK284" s="331">
        <f>+IF(SUM($F350:AJ350)&gt;=AK415*$F$9,0,AK350)</f>
        <v>0</v>
      </c>
      <c r="AL284" s="331">
        <f>+IF(SUM($F350:AK350)&gt;=AL415*$F$9,0,AL350)</f>
        <v>0</v>
      </c>
      <c r="AM284" s="331">
        <f>+IF(SUM($F350:AL350)&gt;=AM415*$F$9,0,AM350)</f>
        <v>0</v>
      </c>
      <c r="AN284" s="331">
        <f>+IF(SUM($F350:AM350)&gt;=AN415*$F$9,0,AN350)</f>
        <v>0</v>
      </c>
      <c r="AO284" s="331">
        <f>+IF(SUM($F350:AN350)&gt;=AO415*$F$9,0,AO350)</f>
        <v>0</v>
      </c>
      <c r="AP284" s="331">
        <f>+IF(SUM($F350:AO350)&gt;=AP415*$F$9,0,AP350)</f>
        <v>0</v>
      </c>
      <c r="AQ284" s="331">
        <f>+IF(SUM($F350:AP350)&gt;=AQ415*$F$9,0,AQ350)</f>
        <v>0</v>
      </c>
      <c r="AR284" s="331">
        <f>+IF(SUM($F350:AQ350)&gt;=AR415*$F$9,0,AR350)</f>
        <v>0</v>
      </c>
      <c r="AS284" s="331">
        <f>+IF(SUM($F350:AR350)&gt;=AS415*$F$9,0,AS350)</f>
        <v>0</v>
      </c>
      <c r="AT284" s="331">
        <f>+IF(SUM($F350:AS350)&gt;=AT415*$F$9,0,AT350)</f>
        <v>0</v>
      </c>
      <c r="AU284" s="331">
        <f>+IF(SUM($F350:AT350)&gt;=AU415*$F$9,0,AU350)</f>
        <v>0</v>
      </c>
      <c r="AV284" s="331">
        <f>+IF(SUM($F350:AU350)&gt;=AV415*$F$9,0,AV350)</f>
        <v>0</v>
      </c>
      <c r="AW284" s="331">
        <f>+IF(SUM($F350:AV350)&gt;=AW415*$F$9,0,AW350)</f>
        <v>0</v>
      </c>
      <c r="AX284" s="331">
        <f>+IF(SUM($F350:AW350)&gt;=AX415*$F$9,0,AX350)</f>
        <v>0</v>
      </c>
      <c r="AY284" s="331">
        <f>+IF(SUM($F350:AX350)&gt;=AY415*$F$9,0,AY350)</f>
        <v>0</v>
      </c>
      <c r="AZ284" s="331">
        <f>+IF(SUM($F350:AY350)&gt;=AZ415*$F$9,0,AZ350)</f>
        <v>0</v>
      </c>
      <c r="BA284" s="331">
        <f>+IF(SUM($F350:AZ350)&gt;=BA415*$F$9,0,BA350)</f>
        <v>0</v>
      </c>
      <c r="BB284" s="331">
        <f>+IF(SUM($F350:BA350)&gt;=BB415*$F$9,0,BB350)</f>
        <v>0</v>
      </c>
      <c r="BC284" s="331">
        <f>+IF(SUM($F350:BB350)&gt;=BC415*$F$9,0,BC350)</f>
        <v>0</v>
      </c>
      <c r="BD284" s="331">
        <f>+IF(SUM($F350:BC350)&gt;=BD415*$F$9,0,BD350)</f>
        <v>0</v>
      </c>
      <c r="BE284" s="331">
        <f>+IF(SUM($F350:BD350)&gt;=BE415*$F$9,0,BE350)</f>
        <v>0</v>
      </c>
      <c r="BF284" s="331">
        <f>+IF(SUM($F350:BE350)&gt;=BF415*$F$9,0,BF350)</f>
        <v>0</v>
      </c>
      <c r="BG284" s="331">
        <f>+IF(SUM($F350:BF350)&gt;=BG415*$F$9,0,BG350)</f>
        <v>0</v>
      </c>
      <c r="BH284" s="331">
        <f>+IF(SUM($F350:BG350)&gt;=BH415*$F$9,0,BH350)</f>
        <v>0</v>
      </c>
      <c r="BI284" s="331">
        <f>+IF(SUM($F350:BH350)&gt;=BI415*$F$9,0,BI350)</f>
        <v>0</v>
      </c>
      <c r="BJ284" s="331">
        <f>+IF(SUM($F350:BI350)&gt;=BJ415*$F$9,0,BJ350)</f>
        <v>0</v>
      </c>
      <c r="BK284" s="331">
        <f>+IF(SUM($F350:BJ350)&gt;=BK415*$F$9,0,BK350)</f>
        <v>0</v>
      </c>
      <c r="BL284" s="331">
        <f>+IF(SUM($F350:BK350)&gt;=BL415*$F$9,0,BL350)</f>
        <v>0</v>
      </c>
      <c r="BM284" s="331">
        <f>+IF(SUM($F350:BL350)&gt;=BM415*$F$9,0,BM350)</f>
        <v>0</v>
      </c>
    </row>
    <row r="285" spans="5:65" ht="15.75">
      <c r="E285" s="416">
        <f t="shared" si="193"/>
        <v>43807</v>
      </c>
      <c r="F285" s="331">
        <f t="shared" si="192"/>
        <v>0</v>
      </c>
      <c r="G285" s="331">
        <f>+IF(SUM($F351:F351)&gt;=G416*$F$9,0,G351)</f>
        <v>0</v>
      </c>
      <c r="H285" s="331">
        <f>+IF(SUM($F351:G351)&gt;=H416*$F$9,0,H351)</f>
        <v>0</v>
      </c>
      <c r="I285" s="331">
        <f>+IF(SUM($F351:H351)&gt;=I416*$F$9,0,I351)</f>
        <v>0</v>
      </c>
      <c r="J285" s="331">
        <f>+IF(SUM($F351:I351)&gt;=J416*$F$9,0,J351)</f>
        <v>0</v>
      </c>
      <c r="K285" s="331">
        <f>+IF(SUM($F351:J351)&gt;=K416*$F$9,0,K351)</f>
        <v>0</v>
      </c>
      <c r="L285" s="331">
        <f>+IF(SUM($F351:K351)&gt;=L416*$F$9,0,L351)</f>
        <v>0</v>
      </c>
      <c r="M285" s="331">
        <f>+IF(SUM($F351:L351)&gt;=M416*$F$9,0,M351)</f>
        <v>0</v>
      </c>
      <c r="N285" s="331">
        <f>+IF(SUM($F351:M351)&gt;=N416*$F$9,0,N351)</f>
        <v>0</v>
      </c>
      <c r="O285" s="331">
        <f>+IF(SUM($F351:N351)&gt;=O416*$F$9,0,O351)</f>
        <v>0</v>
      </c>
      <c r="P285" s="331">
        <f>+IF(SUM($F351:O351)&gt;=P416*$F$9,0,P351)</f>
        <v>0</v>
      </c>
      <c r="Q285" s="331">
        <f>+IF(SUM($F351:P351)&gt;=Q416*$F$9,0,Q351)</f>
        <v>0</v>
      </c>
      <c r="R285" s="331">
        <f>+IF(SUM($F351:Q351)&gt;=R416*$F$9,0,R351)</f>
        <v>0</v>
      </c>
      <c r="S285" s="331">
        <f>+IF(SUM($F351:R351)&gt;=S416*$F$9,0,S351)</f>
        <v>0</v>
      </c>
      <c r="T285" s="331">
        <f>+IF(SUM($F351:S351)&gt;=T416*$F$9,0,T351)</f>
        <v>0</v>
      </c>
      <c r="U285" s="331">
        <f>+IF(SUM($F351:T351)&gt;=U416*$F$9,0,U351)</f>
        <v>0</v>
      </c>
      <c r="V285" s="331">
        <f>+IF(SUM($F351:U351)&gt;=V416*$F$9,0,V351)</f>
        <v>0</v>
      </c>
      <c r="W285" s="331">
        <f>+IF(SUM($F351:V351)&gt;=W416*$F$9,0,W351)</f>
        <v>0</v>
      </c>
      <c r="X285" s="331">
        <f>+IF(SUM($F351:W351)&gt;=X416*$F$9,0,X351)</f>
        <v>0</v>
      </c>
      <c r="Y285" s="331">
        <f>+IF(SUM($F351:X351)&gt;=Y416*$F$9,0,Y351)</f>
        <v>0</v>
      </c>
      <c r="Z285" s="331">
        <f>+IF(SUM($F351:Y351)&gt;=Z416*$F$9,0,Z351)</f>
        <v>0</v>
      </c>
      <c r="AA285" s="331">
        <f>+IF(SUM($F351:Z351)&gt;=AA416*$F$9,0,AA351)</f>
        <v>0</v>
      </c>
      <c r="AB285" s="331">
        <f>+IF(SUM($F351:AA351)&gt;=AB416*$F$9,0,AB351)</f>
        <v>0</v>
      </c>
      <c r="AC285" s="331">
        <f>+IF(SUM($F351:AB351)&gt;=AC416*$F$9,0,AC351)</f>
        <v>0</v>
      </c>
      <c r="AD285" s="331">
        <f>+IF(SUM($F351:AC351)&gt;=AD416*$F$9,0,AD351)</f>
        <v>0</v>
      </c>
      <c r="AE285" s="331">
        <f>+IF(SUM($F351:AD351)&gt;=AE416*$F$9,0,AE351)</f>
        <v>0</v>
      </c>
      <c r="AF285" s="331">
        <f>+IF(SUM($F351:AE351)&gt;=AF416*$F$9,0,AF351)</f>
        <v>0</v>
      </c>
      <c r="AG285" s="331">
        <f>+IF(SUM($F351:AF351)&gt;=AG416*$F$9,0,AG351)</f>
        <v>0</v>
      </c>
      <c r="AH285" s="331">
        <f>+IF(SUM($F351:AG351)&gt;=AH416*$F$9,0,AH351)</f>
        <v>0</v>
      </c>
      <c r="AI285" s="331">
        <f>+IF(SUM($F351:AH351)&gt;=AI416*$F$9,0,AI351)</f>
        <v>0</v>
      </c>
      <c r="AJ285" s="331">
        <f>+IF(SUM($F351:AI351)&gt;=AJ416*$F$9,0,AJ351)</f>
        <v>0</v>
      </c>
      <c r="AK285" s="331">
        <f>+IF(SUM($F351:AJ351)&gt;=AK416*$F$9,0,AK351)</f>
        <v>0</v>
      </c>
      <c r="AL285" s="331">
        <f>+IF(SUM($F351:AK351)&gt;=AL416*$F$9,0,AL351)</f>
        <v>0</v>
      </c>
      <c r="AM285" s="331">
        <f>+IF(SUM($F351:AL351)&gt;=AM416*$F$9,0,AM351)</f>
        <v>0</v>
      </c>
      <c r="AN285" s="331">
        <f>+IF(SUM($F351:AM351)&gt;=AN416*$F$9,0,AN351)</f>
        <v>0</v>
      </c>
      <c r="AO285" s="331">
        <f>+IF(SUM($F351:AN351)&gt;=AO416*$F$9,0,AO351)</f>
        <v>0</v>
      </c>
      <c r="AP285" s="331">
        <f>+IF(SUM($F351:AO351)&gt;=AP416*$F$9,0,AP351)</f>
        <v>0</v>
      </c>
      <c r="AQ285" s="331">
        <f>+IF(SUM($F351:AP351)&gt;=AQ416*$F$9,0,AQ351)</f>
        <v>0</v>
      </c>
      <c r="AR285" s="331">
        <f>+IF(SUM($F351:AQ351)&gt;=AR416*$F$9,0,AR351)</f>
        <v>0</v>
      </c>
      <c r="AS285" s="331">
        <f>+IF(SUM($F351:AR351)&gt;=AS416*$F$9,0,AS351)</f>
        <v>0</v>
      </c>
      <c r="AT285" s="331">
        <f>+IF(SUM($F351:AS351)&gt;=AT416*$F$9,0,AT351)</f>
        <v>0</v>
      </c>
      <c r="AU285" s="331">
        <f>+IF(SUM($F351:AT351)&gt;=AU416*$F$9,0,AU351)</f>
        <v>0</v>
      </c>
      <c r="AV285" s="331">
        <f>+IF(SUM($F351:AU351)&gt;=AV416*$F$9,0,AV351)</f>
        <v>0</v>
      </c>
      <c r="AW285" s="331">
        <f>+IF(SUM($F351:AV351)&gt;=AW416*$F$9,0,AW351)</f>
        <v>0</v>
      </c>
      <c r="AX285" s="331">
        <f>+IF(SUM($F351:AW351)&gt;=AX416*$F$9,0,AX351)</f>
        <v>0</v>
      </c>
      <c r="AY285" s="331">
        <f>+IF(SUM($F351:AX351)&gt;=AY416*$F$9,0,AY351)</f>
        <v>0</v>
      </c>
      <c r="AZ285" s="331">
        <f>+IF(SUM($F351:AY351)&gt;=AZ416*$F$9,0,AZ351)</f>
        <v>0</v>
      </c>
      <c r="BA285" s="331">
        <f>+IF(SUM($F351:AZ351)&gt;=BA416*$F$9,0,BA351)</f>
        <v>0</v>
      </c>
      <c r="BB285" s="331">
        <f>+IF(SUM($F351:BA351)&gt;=BB416*$F$9,0,BB351)</f>
        <v>0</v>
      </c>
      <c r="BC285" s="331">
        <f>+IF(SUM($F351:BB351)&gt;=BC416*$F$9,0,BC351)</f>
        <v>0</v>
      </c>
      <c r="BD285" s="331">
        <f>+IF(SUM($F351:BC351)&gt;=BD416*$F$9,0,BD351)</f>
        <v>0</v>
      </c>
      <c r="BE285" s="331">
        <f>+IF(SUM($F351:BD351)&gt;=BE416*$F$9,0,BE351)</f>
        <v>0</v>
      </c>
      <c r="BF285" s="331">
        <f>+IF(SUM($F351:BE351)&gt;=BF416*$F$9,0,BF351)</f>
        <v>0</v>
      </c>
      <c r="BG285" s="331">
        <f>+IF(SUM($F351:BF351)&gt;=BG416*$F$9,0,BG351)</f>
        <v>0</v>
      </c>
      <c r="BH285" s="331">
        <f>+IF(SUM($F351:BG351)&gt;=BH416*$F$9,0,BH351)</f>
        <v>0</v>
      </c>
      <c r="BI285" s="331">
        <f>+IF(SUM($F351:BH351)&gt;=BI416*$F$9,0,BI351)</f>
        <v>0</v>
      </c>
      <c r="BJ285" s="331">
        <f>+IF(SUM($F351:BI351)&gt;=BJ416*$F$9,0,BJ351)</f>
        <v>0</v>
      </c>
      <c r="BK285" s="331">
        <f>+IF(SUM($F351:BJ351)&gt;=BK416*$F$9,0,BK351)</f>
        <v>0</v>
      </c>
      <c r="BL285" s="331">
        <f>+IF(SUM($F351:BK351)&gt;=BL416*$F$9,0,BL351)</f>
        <v>0</v>
      </c>
      <c r="BM285" s="331">
        <f>+IF(SUM($F351:BL351)&gt;=BM416*$F$9,0,BM351)</f>
        <v>0</v>
      </c>
    </row>
    <row r="286" spans="2:65" ht="15.75">
      <c r="B286" s="217"/>
      <c r="E286" s="416">
        <f t="shared" si="193"/>
        <v>43838</v>
      </c>
      <c r="F286" s="331">
        <f t="shared" si="192"/>
        <v>0</v>
      </c>
      <c r="G286" s="331">
        <f>+IF(SUM($F352:F352)&gt;=G417*$F$9,0,G352)</f>
        <v>0</v>
      </c>
      <c r="H286" s="331">
        <f>+IF(SUM($F352:G352)&gt;=H417*$F$9,0,H352)</f>
        <v>0</v>
      </c>
      <c r="I286" s="331">
        <f>+IF(SUM($F352:H352)&gt;=I417*$F$9,0,I352)</f>
        <v>0</v>
      </c>
      <c r="J286" s="331">
        <f>+IF(SUM($F352:I352)&gt;=J417*$F$9,0,J352)</f>
        <v>0</v>
      </c>
      <c r="K286" s="331">
        <f>+IF(SUM($F352:J352)&gt;=K417*$F$9,0,K352)</f>
        <v>0</v>
      </c>
      <c r="L286" s="331">
        <f>+IF(SUM($F352:K352)&gt;=L417*$F$9,0,L352)</f>
        <v>0</v>
      </c>
      <c r="M286" s="331">
        <f>+IF(SUM($F352:L352)&gt;=M417*$F$9,0,M352)</f>
        <v>0</v>
      </c>
      <c r="N286" s="331">
        <f>+IF(SUM($F352:M352)&gt;=N417*$F$9,0,N352)</f>
        <v>0</v>
      </c>
      <c r="O286" s="331">
        <f>+IF(SUM($F352:N352)&gt;=O417*$F$9,0,O352)</f>
        <v>0</v>
      </c>
      <c r="P286" s="331">
        <f>+IF(SUM($F352:O352)&gt;=P417*$F$9,0,P352)</f>
        <v>0</v>
      </c>
      <c r="Q286" s="331">
        <f>+IF(SUM($F352:P352)&gt;=Q417*$F$9,0,Q352)</f>
        <v>0</v>
      </c>
      <c r="R286" s="331">
        <f>+IF(SUM($F352:Q352)&gt;=R417*$F$9,0,R352)</f>
        <v>0</v>
      </c>
      <c r="S286" s="331">
        <f>+IF(SUM($F352:R352)&gt;=S417*$F$9,0,S352)</f>
        <v>0</v>
      </c>
      <c r="T286" s="331">
        <f>+IF(SUM($F352:S352)&gt;=T417*$F$9,0,T352)</f>
        <v>0</v>
      </c>
      <c r="U286" s="331">
        <f>+IF(SUM($F352:T352)&gt;=U417*$F$9,0,U352)</f>
        <v>0</v>
      </c>
      <c r="V286" s="331">
        <f>+IF(SUM($F352:U352)&gt;=V417*$F$9,0,V352)</f>
        <v>0</v>
      </c>
      <c r="W286" s="331">
        <f>+IF(SUM($F352:V352)&gt;=W417*$F$9,0,W352)</f>
        <v>0</v>
      </c>
      <c r="X286" s="331">
        <f>+IF(SUM($F352:W352)&gt;=X417*$F$9,0,X352)</f>
        <v>0</v>
      </c>
      <c r="Y286" s="331">
        <f>+IF(SUM($F352:X352)&gt;=Y417*$F$9,0,Y352)</f>
        <v>0</v>
      </c>
      <c r="Z286" s="331">
        <f>+IF(SUM($F352:Y352)&gt;=Z417*$F$9,0,Z352)</f>
        <v>0</v>
      </c>
      <c r="AA286" s="331">
        <f>+IF(SUM($F352:Z352)&gt;=AA417*$F$9,0,AA352)</f>
        <v>0</v>
      </c>
      <c r="AB286" s="331">
        <f>+IF(SUM($F352:AA352)&gt;=AB417*$F$9,0,AB352)</f>
        <v>0</v>
      </c>
      <c r="AC286" s="331">
        <f>+IF(SUM($F352:AB352)&gt;=AC417*$F$9,0,AC352)</f>
        <v>0</v>
      </c>
      <c r="AD286" s="331">
        <f>+IF(SUM($F352:AC352)&gt;=AD417*$F$9,0,AD352)</f>
        <v>0</v>
      </c>
      <c r="AE286" s="331">
        <f>+IF(SUM($F352:AD352)&gt;=AE417*$F$9,0,AE352)</f>
        <v>0</v>
      </c>
      <c r="AF286" s="331">
        <f>+IF(SUM($F352:AE352)&gt;=AF417*$F$9,0,AF352)</f>
        <v>0</v>
      </c>
      <c r="AG286" s="331">
        <f>+IF(SUM($F352:AF352)&gt;=AG417*$F$9,0,AG352)</f>
        <v>0</v>
      </c>
      <c r="AH286" s="331">
        <f>+IF(SUM($F352:AG352)&gt;=AH417*$F$9,0,AH352)</f>
        <v>0</v>
      </c>
      <c r="AI286" s="331">
        <f>+IF(SUM($F352:AH352)&gt;=AI417*$F$9,0,AI352)</f>
        <v>0</v>
      </c>
      <c r="AJ286" s="331">
        <f>+IF(SUM($F352:AI352)&gt;=AJ417*$F$9,0,AJ352)</f>
        <v>0</v>
      </c>
      <c r="AK286" s="331">
        <f>+IF(SUM($F352:AJ352)&gt;=AK417*$F$9,0,AK352)</f>
        <v>0</v>
      </c>
      <c r="AL286" s="331">
        <f>+IF(SUM($F352:AK352)&gt;=AL417*$F$9,0,AL352)</f>
        <v>0</v>
      </c>
      <c r="AM286" s="331">
        <f>+IF(SUM($F352:AL352)&gt;=AM417*$F$9,0,AM352)</f>
        <v>0</v>
      </c>
      <c r="AN286" s="331">
        <f>+IF(SUM($F352:AM352)&gt;=AN417*$F$9,0,AN352)</f>
        <v>0</v>
      </c>
      <c r="AO286" s="331">
        <f>+IF(SUM($F352:AN352)&gt;=AO417*$F$9,0,AO352)</f>
        <v>0</v>
      </c>
      <c r="AP286" s="331">
        <f>+IF(SUM($F352:AO352)&gt;=AP417*$F$9,0,AP352)</f>
        <v>0</v>
      </c>
      <c r="AQ286" s="331">
        <f>+IF(SUM($F352:AP352)&gt;=AQ417*$F$9,0,AQ352)</f>
        <v>0</v>
      </c>
      <c r="AR286" s="331">
        <f>+IF(SUM($F352:AQ352)&gt;=AR417*$F$9,0,AR352)</f>
        <v>0</v>
      </c>
      <c r="AS286" s="331">
        <f>+IF(SUM($F352:AR352)&gt;=AS417*$F$9,0,AS352)</f>
        <v>0</v>
      </c>
      <c r="AT286" s="331">
        <f>+IF(SUM($F352:AS352)&gt;=AT417*$F$9,0,AT352)</f>
        <v>0</v>
      </c>
      <c r="AU286" s="331">
        <f>+IF(SUM($F352:AT352)&gt;=AU417*$F$9,0,AU352)</f>
        <v>0</v>
      </c>
      <c r="AV286" s="331">
        <f>+IF(SUM($F352:AU352)&gt;=AV417*$F$9,0,AV352)</f>
        <v>0</v>
      </c>
      <c r="AW286" s="331">
        <f>+IF(SUM($F352:AV352)&gt;=AW417*$F$9,0,AW352)</f>
        <v>0</v>
      </c>
      <c r="AX286" s="331">
        <f>+IF(SUM($F352:AW352)&gt;=AX417*$F$9,0,AX352)</f>
        <v>0</v>
      </c>
      <c r="AY286" s="331">
        <f>+IF(SUM($F352:AX352)&gt;=AY417*$F$9,0,AY352)</f>
        <v>0</v>
      </c>
      <c r="AZ286" s="331">
        <f>+IF(SUM($F352:AY352)&gt;=AZ417*$F$9,0,AZ352)</f>
        <v>0</v>
      </c>
      <c r="BA286" s="331">
        <f>+IF(SUM($F352:AZ352)&gt;=BA417*$F$9,0,BA352)</f>
        <v>0</v>
      </c>
      <c r="BB286" s="331">
        <f>+IF(SUM($F352:BA352)&gt;=BB417*$F$9,0,BB352)</f>
        <v>0</v>
      </c>
      <c r="BC286" s="331">
        <f>+IF(SUM($F352:BB352)&gt;=BC417*$F$9,0,BC352)</f>
        <v>0</v>
      </c>
      <c r="BD286" s="331">
        <f>+IF(SUM($F352:BC352)&gt;=BD417*$F$9,0,BD352)</f>
        <v>0</v>
      </c>
      <c r="BE286" s="331">
        <f>+IF(SUM($F352:BD352)&gt;=BE417*$F$9,0,BE352)</f>
        <v>0</v>
      </c>
      <c r="BF286" s="331">
        <f>+IF(SUM($F352:BE352)&gt;=BF417*$F$9,0,BF352)</f>
        <v>0</v>
      </c>
      <c r="BG286" s="331">
        <f>+IF(SUM($F352:BF352)&gt;=BG417*$F$9,0,BG352)</f>
        <v>0</v>
      </c>
      <c r="BH286" s="331">
        <f>+IF(SUM($F352:BG352)&gt;=BH417*$F$9,0,BH352)</f>
        <v>0</v>
      </c>
      <c r="BI286" s="331">
        <f>+IF(SUM($F352:BH352)&gt;=BI417*$F$9,0,BI352)</f>
        <v>0</v>
      </c>
      <c r="BJ286" s="331">
        <f>+IF(SUM($F352:BI352)&gt;=BJ417*$F$9,0,BJ352)</f>
        <v>0</v>
      </c>
      <c r="BK286" s="331">
        <f>+IF(SUM($F352:BJ352)&gt;=BK417*$F$9,0,BK352)</f>
        <v>0</v>
      </c>
      <c r="BL286" s="331">
        <f>+IF(SUM($F352:BK352)&gt;=BL417*$F$9,0,BL352)</f>
        <v>0</v>
      </c>
      <c r="BM286" s="331">
        <f>+IF(SUM($F352:BL352)&gt;=BM417*$F$9,0,BM352)</f>
        <v>0</v>
      </c>
    </row>
    <row r="287" spans="5:65" s="331" customFormat="1" ht="15.75">
      <c r="E287" s="416">
        <f t="shared" si="193"/>
        <v>43869</v>
      </c>
      <c r="F287" s="331">
        <f t="shared" si="192"/>
        <v>0</v>
      </c>
      <c r="G287" s="331">
        <f>+IF(SUM($F353:F353)&gt;=G418*$F$9,0,G353)</f>
        <v>0</v>
      </c>
      <c r="H287" s="331">
        <f>+IF(SUM($F353:G353)&gt;=H418*$F$9,0,H353)</f>
        <v>0</v>
      </c>
      <c r="I287" s="331">
        <f>+IF(SUM($F353:H353)&gt;=I418*$F$9,0,I353)</f>
        <v>0</v>
      </c>
      <c r="J287" s="331">
        <f>+IF(SUM($F353:I353)&gt;=J418*$F$9,0,J353)</f>
        <v>0</v>
      </c>
      <c r="K287" s="331">
        <f>+IF(SUM($F353:J353)&gt;=K418*$F$9,0,K353)</f>
        <v>0</v>
      </c>
      <c r="L287" s="331">
        <f>+IF(SUM($F353:K353)&gt;=L418*$F$9,0,L353)</f>
        <v>0</v>
      </c>
      <c r="M287" s="331">
        <f>+IF(SUM($F353:L353)&gt;=M418*$F$9,0,M353)</f>
        <v>0</v>
      </c>
      <c r="N287" s="331">
        <f>+IF(SUM($F353:M353)&gt;=N418*$F$9,0,N353)</f>
        <v>0</v>
      </c>
      <c r="O287" s="331">
        <f>+IF(SUM($F353:N353)&gt;=O418*$F$9,0,O353)</f>
        <v>0</v>
      </c>
      <c r="P287" s="331">
        <f>+IF(SUM($F353:O353)&gt;=P418*$F$9,0,P353)</f>
        <v>0</v>
      </c>
      <c r="Q287" s="331">
        <f>+IF(SUM($F353:P353)&gt;=Q418*$F$9,0,Q353)</f>
        <v>0</v>
      </c>
      <c r="R287" s="331">
        <f>+IF(SUM($F353:Q353)&gt;=R418*$F$9,0,R353)</f>
        <v>0</v>
      </c>
      <c r="S287" s="331">
        <f>+IF(SUM($F353:R353)&gt;=S418*$F$9,0,S353)</f>
        <v>0</v>
      </c>
      <c r="T287" s="331">
        <f>+IF(SUM($F353:S353)&gt;=T418*$F$9,0,T353)</f>
        <v>0</v>
      </c>
      <c r="U287" s="331">
        <f>+IF(SUM($F353:T353)&gt;=U418*$F$9,0,U353)</f>
        <v>0</v>
      </c>
      <c r="V287" s="331">
        <f>+IF(SUM($F353:U353)&gt;=V418*$F$9,0,V353)</f>
        <v>0</v>
      </c>
      <c r="W287" s="331">
        <f>+IF(SUM($F353:V353)&gt;=W418*$F$9,0,W353)</f>
        <v>0</v>
      </c>
      <c r="X287" s="331">
        <f>+IF(SUM($F353:W353)&gt;=X418*$F$9,0,X353)</f>
        <v>0</v>
      </c>
      <c r="Y287" s="331">
        <f>+IF(SUM($F353:X353)&gt;=Y418*$F$9,0,Y353)</f>
        <v>0</v>
      </c>
      <c r="Z287" s="331">
        <f>+IF(SUM($F353:Y353)&gt;=Z418*$F$9,0,Z353)</f>
        <v>0</v>
      </c>
      <c r="AA287" s="331">
        <f>+IF(SUM($F353:Z353)&gt;=AA418*$F$9,0,AA353)</f>
        <v>0</v>
      </c>
      <c r="AB287" s="331">
        <f>+IF(SUM($F353:AA353)&gt;=AB418*$F$9,0,AB353)</f>
        <v>0</v>
      </c>
      <c r="AC287" s="331">
        <f>+IF(SUM($F353:AB353)&gt;=AC418*$F$9,0,AC353)</f>
        <v>0</v>
      </c>
      <c r="AD287" s="331">
        <f>+IF(SUM($F353:AC353)&gt;=AD418*$F$9,0,AD353)</f>
        <v>0</v>
      </c>
      <c r="AE287" s="331">
        <f>+IF(SUM($F353:AD353)&gt;=AE418*$F$9,0,AE353)</f>
        <v>0</v>
      </c>
      <c r="AF287" s="331">
        <f>+IF(SUM($F353:AE353)&gt;=AF418*$F$9,0,AF353)</f>
        <v>0</v>
      </c>
      <c r="AG287" s="331">
        <f>+IF(SUM($F353:AF353)&gt;=AG418*$F$9,0,AG353)</f>
        <v>0</v>
      </c>
      <c r="AH287" s="331">
        <f>+IF(SUM($F353:AG353)&gt;=AH418*$F$9,0,AH353)</f>
        <v>0</v>
      </c>
      <c r="AI287" s="331">
        <f>+IF(SUM($F353:AH353)&gt;=AI418*$F$9,0,AI353)</f>
        <v>0</v>
      </c>
      <c r="AJ287" s="331">
        <f>+IF(SUM($F353:AI353)&gt;=AJ418*$F$9,0,AJ353)</f>
        <v>0</v>
      </c>
      <c r="AK287" s="331">
        <f>+IF(SUM($F353:AJ353)&gt;=AK418*$F$9,0,AK353)</f>
        <v>0</v>
      </c>
      <c r="AL287" s="331">
        <f>+IF(SUM($F353:AK353)&gt;=AL418*$F$9,0,AL353)</f>
        <v>0</v>
      </c>
      <c r="AM287" s="331">
        <f>+IF(SUM($F353:AL353)&gt;=AM418*$F$9,0,AM353)</f>
        <v>0</v>
      </c>
      <c r="AN287" s="331">
        <f>+IF(SUM($F353:AM353)&gt;=AN418*$F$9,0,AN353)</f>
        <v>0</v>
      </c>
      <c r="AO287" s="331">
        <f>+IF(SUM($F353:AN353)&gt;=AO418*$F$9,0,AO353)</f>
        <v>0</v>
      </c>
      <c r="AP287" s="331">
        <f>+IF(SUM($F353:AO353)&gt;=AP418*$F$9,0,AP353)</f>
        <v>0</v>
      </c>
      <c r="AQ287" s="331">
        <f>+IF(SUM($F353:AP353)&gt;=AQ418*$F$9,0,AQ353)</f>
        <v>0</v>
      </c>
      <c r="AR287" s="331">
        <f>+IF(SUM($F353:AQ353)&gt;=AR418*$F$9,0,AR353)</f>
        <v>0</v>
      </c>
      <c r="AS287" s="331">
        <f>+IF(SUM($F353:AR353)&gt;=AS418*$F$9,0,AS353)</f>
        <v>0</v>
      </c>
      <c r="AT287" s="331">
        <f>+IF(SUM($F353:AS353)&gt;=AT418*$F$9,0,AT353)</f>
        <v>0</v>
      </c>
      <c r="AU287" s="331">
        <f>+IF(SUM($F353:AT353)&gt;=AU418*$F$9,0,AU353)</f>
        <v>0</v>
      </c>
      <c r="AV287" s="331">
        <f>+IF(SUM($F353:AU353)&gt;=AV418*$F$9,0,AV353)</f>
        <v>0</v>
      </c>
      <c r="AW287" s="331">
        <f>+IF(SUM($F353:AV353)&gt;=AW418*$F$9,0,AW353)</f>
        <v>0</v>
      </c>
      <c r="AX287" s="331">
        <f>+IF(SUM($F353:AW353)&gt;=AX418*$F$9,0,AX353)</f>
        <v>0</v>
      </c>
      <c r="AY287" s="331">
        <f>+IF(SUM($F353:AX353)&gt;=AY418*$F$9,0,AY353)</f>
        <v>0</v>
      </c>
      <c r="AZ287" s="331">
        <f>+IF(SUM($F353:AY353)&gt;=AZ418*$F$9,0,AZ353)</f>
        <v>0</v>
      </c>
      <c r="BA287" s="331">
        <f>+IF(SUM($F353:AZ353)&gt;=BA418*$F$9,0,BA353)</f>
        <v>0</v>
      </c>
      <c r="BB287" s="331">
        <f>+IF(SUM($F353:BA353)&gt;=BB418*$F$9,0,BB353)</f>
        <v>0</v>
      </c>
      <c r="BC287" s="331">
        <f>+IF(SUM($F353:BB353)&gt;=BC418*$F$9,0,BC353)</f>
        <v>0</v>
      </c>
      <c r="BD287" s="331">
        <f>+IF(SUM($F353:BC353)&gt;=BD418*$F$9,0,BD353)</f>
        <v>0</v>
      </c>
      <c r="BE287" s="331">
        <f>+IF(SUM($F353:BD353)&gt;=BE418*$F$9,0,BE353)</f>
        <v>0</v>
      </c>
      <c r="BF287" s="331">
        <f>+IF(SUM($F353:BE353)&gt;=BF418*$F$9,0,BF353)</f>
        <v>0</v>
      </c>
      <c r="BG287" s="331">
        <f>+IF(SUM($F353:BF353)&gt;=BG418*$F$9,0,BG353)</f>
        <v>0</v>
      </c>
      <c r="BH287" s="331">
        <f>+IF(SUM($F353:BG353)&gt;=BH418*$F$9,0,BH353)</f>
        <v>0</v>
      </c>
      <c r="BI287" s="331">
        <f>+IF(SUM($F353:BH353)&gt;=BI418*$F$9,0,BI353)</f>
        <v>0</v>
      </c>
      <c r="BJ287" s="331">
        <f>+IF(SUM($F353:BI353)&gt;=BJ418*$F$9,0,BJ353)</f>
        <v>0</v>
      </c>
      <c r="BK287" s="331">
        <f>+IF(SUM($F353:BJ353)&gt;=BK418*$F$9,0,BK353)</f>
        <v>0</v>
      </c>
      <c r="BL287" s="331">
        <f>+IF(SUM($F353:BK353)&gt;=BL418*$F$9,0,BL353)</f>
        <v>0</v>
      </c>
      <c r="BM287" s="331">
        <f>+IF(SUM($F353:BL353)&gt;=BM418*$F$9,0,BM353)</f>
        <v>0</v>
      </c>
    </row>
    <row r="288" spans="5:65" ht="15.75">
      <c r="E288" s="416">
        <f t="shared" si="193"/>
        <v>43900</v>
      </c>
      <c r="F288" s="331">
        <f t="shared" si="192"/>
        <v>0</v>
      </c>
      <c r="G288" s="331">
        <f>+IF(SUM($F354:F354)&gt;=G419*$F$9,0,G354)</f>
        <v>0</v>
      </c>
      <c r="H288" s="331">
        <f>+IF(SUM($F354:G354)&gt;=H419*$F$9,0,H354)</f>
        <v>0</v>
      </c>
      <c r="I288" s="331">
        <f>+IF(SUM($F354:H354)&gt;=I419*$F$9,0,I354)</f>
        <v>0</v>
      </c>
      <c r="J288" s="331">
        <f>+IF(SUM($F354:I354)&gt;=J419*$F$9,0,J354)</f>
        <v>0</v>
      </c>
      <c r="K288" s="331">
        <f>+IF(SUM($F354:J354)&gt;=K419*$F$9,0,K354)</f>
        <v>0</v>
      </c>
      <c r="L288" s="331">
        <f>+IF(SUM($F354:K354)&gt;=L419*$F$9,0,L354)</f>
        <v>0</v>
      </c>
      <c r="M288" s="331">
        <f>+IF(SUM($F354:L354)&gt;=M419*$F$9,0,M354)</f>
        <v>0</v>
      </c>
      <c r="N288" s="331">
        <f>+IF(SUM($F354:M354)&gt;=N419*$F$9,0,N354)</f>
        <v>0</v>
      </c>
      <c r="O288" s="331">
        <f>+IF(SUM($F354:N354)&gt;=O419*$F$9,0,O354)</f>
        <v>0</v>
      </c>
      <c r="P288" s="331">
        <f>+IF(SUM($F354:O354)&gt;=P419*$F$9,0,P354)</f>
        <v>0</v>
      </c>
      <c r="Q288" s="331">
        <f>+IF(SUM($F354:P354)&gt;=Q419*$F$9,0,Q354)</f>
        <v>0</v>
      </c>
      <c r="R288" s="331">
        <f>+IF(SUM($F354:Q354)&gt;=R419*$F$9,0,R354)</f>
        <v>0</v>
      </c>
      <c r="S288" s="331">
        <f>+IF(SUM($F354:R354)&gt;=S419*$F$9,0,S354)</f>
        <v>0</v>
      </c>
      <c r="T288" s="331">
        <f>+IF(SUM($F354:S354)&gt;=T419*$F$9,0,T354)</f>
        <v>0</v>
      </c>
      <c r="U288" s="331">
        <f>+IF(SUM($F354:T354)&gt;=U419*$F$9,0,U354)</f>
        <v>0</v>
      </c>
      <c r="V288" s="331">
        <f>+IF(SUM($F354:U354)&gt;=V419*$F$9,0,V354)</f>
        <v>0</v>
      </c>
      <c r="W288" s="331">
        <f>+IF(SUM($F354:V354)&gt;=W419*$F$9,0,W354)</f>
        <v>0</v>
      </c>
      <c r="X288" s="331">
        <f>+IF(SUM($F354:W354)&gt;=X419*$F$9,0,X354)</f>
        <v>0</v>
      </c>
      <c r="Y288" s="331">
        <f>+IF(SUM($F354:X354)&gt;=Y419*$F$9,0,Y354)</f>
        <v>0</v>
      </c>
      <c r="Z288" s="331">
        <f>+IF(SUM($F354:Y354)&gt;=Z419*$F$9,0,Z354)</f>
        <v>0</v>
      </c>
      <c r="AA288" s="331">
        <f>+IF(SUM($F354:Z354)&gt;=AA419*$F$9,0,AA354)</f>
        <v>0</v>
      </c>
      <c r="AB288" s="331">
        <f>+IF(SUM($F354:AA354)&gt;=AB419*$F$9,0,AB354)</f>
        <v>0</v>
      </c>
      <c r="AC288" s="331">
        <f>+IF(SUM($F354:AB354)&gt;=AC419*$F$9,0,AC354)</f>
        <v>0</v>
      </c>
      <c r="AD288" s="331">
        <f>+IF(SUM($F354:AC354)&gt;=AD419*$F$9,0,AD354)</f>
        <v>0</v>
      </c>
      <c r="AE288" s="331">
        <f>+IF(SUM($F354:AD354)&gt;=AE419*$F$9,0,AE354)</f>
        <v>0</v>
      </c>
      <c r="AF288" s="331">
        <f>+IF(SUM($F354:AE354)&gt;=AF419*$F$9,0,AF354)</f>
        <v>0</v>
      </c>
      <c r="AG288" s="331">
        <f>+IF(SUM($F354:AF354)&gt;=AG419*$F$9,0,AG354)</f>
        <v>0</v>
      </c>
      <c r="AH288" s="331">
        <f>+IF(SUM($F354:AG354)&gt;=AH419*$F$9,0,AH354)</f>
        <v>0</v>
      </c>
      <c r="AI288" s="331">
        <f>+IF(SUM($F354:AH354)&gt;=AI419*$F$9,0,AI354)</f>
        <v>0</v>
      </c>
      <c r="AJ288" s="331">
        <f>+IF(SUM($F354:AI354)&gt;=AJ419*$F$9,0,AJ354)</f>
        <v>0</v>
      </c>
      <c r="AK288" s="331">
        <f>+IF(SUM($F354:AJ354)&gt;=AK419*$F$9,0,AK354)</f>
        <v>0</v>
      </c>
      <c r="AL288" s="331">
        <f>+IF(SUM($F354:AK354)&gt;=AL419*$F$9,0,AL354)</f>
        <v>0</v>
      </c>
      <c r="AM288" s="331">
        <f>+IF(SUM($F354:AL354)&gt;=AM419*$F$9,0,AM354)</f>
        <v>0</v>
      </c>
      <c r="AN288" s="331">
        <f>+IF(SUM($F354:AM354)&gt;=AN419*$F$9,0,AN354)</f>
        <v>0</v>
      </c>
      <c r="AO288" s="331">
        <f>+IF(SUM($F354:AN354)&gt;=AO419*$F$9,0,AO354)</f>
        <v>0</v>
      </c>
      <c r="AP288" s="331">
        <f>+IF(SUM($F354:AO354)&gt;=AP419*$F$9,0,AP354)</f>
        <v>0</v>
      </c>
      <c r="AQ288" s="331">
        <f>+IF(SUM($F354:AP354)&gt;=AQ419*$F$9,0,AQ354)</f>
        <v>0</v>
      </c>
      <c r="AR288" s="331">
        <f>+IF(SUM($F354:AQ354)&gt;=AR419*$F$9,0,AR354)</f>
        <v>0</v>
      </c>
      <c r="AS288" s="331">
        <f>+IF(SUM($F354:AR354)&gt;=AS419*$F$9,0,AS354)</f>
        <v>0</v>
      </c>
      <c r="AT288" s="331">
        <f>+IF(SUM($F354:AS354)&gt;=AT419*$F$9,0,AT354)</f>
        <v>0</v>
      </c>
      <c r="AU288" s="331">
        <f>+IF(SUM($F354:AT354)&gt;=AU419*$F$9,0,AU354)</f>
        <v>0</v>
      </c>
      <c r="AV288" s="331">
        <f>+IF(SUM($F354:AU354)&gt;=AV419*$F$9,0,AV354)</f>
        <v>0</v>
      </c>
      <c r="AW288" s="331">
        <f>+IF(SUM($F354:AV354)&gt;=AW419*$F$9,0,AW354)</f>
        <v>0</v>
      </c>
      <c r="AX288" s="331">
        <f>+IF(SUM($F354:AW354)&gt;=AX419*$F$9,0,AX354)</f>
        <v>0</v>
      </c>
      <c r="AY288" s="331">
        <f>+IF(SUM($F354:AX354)&gt;=AY419*$F$9,0,AY354)</f>
        <v>0</v>
      </c>
      <c r="AZ288" s="331">
        <f>+IF(SUM($F354:AY354)&gt;=AZ419*$F$9,0,AZ354)</f>
        <v>0</v>
      </c>
      <c r="BA288" s="331">
        <f>+IF(SUM($F354:AZ354)&gt;=BA419*$F$9,0,BA354)</f>
        <v>0</v>
      </c>
      <c r="BB288" s="331">
        <f>+IF(SUM($F354:BA354)&gt;=BB419*$F$9,0,BB354)</f>
        <v>0</v>
      </c>
      <c r="BC288" s="331">
        <f>+IF(SUM($F354:BB354)&gt;=BC419*$F$9,0,BC354)</f>
        <v>0</v>
      </c>
      <c r="BD288" s="331">
        <f>+IF(SUM($F354:BC354)&gt;=BD419*$F$9,0,BD354)</f>
        <v>0</v>
      </c>
      <c r="BE288" s="331">
        <f>+IF(SUM($F354:BD354)&gt;=BE419*$F$9,0,BE354)</f>
        <v>0</v>
      </c>
      <c r="BF288" s="331">
        <f>+IF(SUM($F354:BE354)&gt;=BF419*$F$9,0,BF354)</f>
        <v>0</v>
      </c>
      <c r="BG288" s="331">
        <f>+IF(SUM($F354:BF354)&gt;=BG419*$F$9,0,BG354)</f>
        <v>0</v>
      </c>
      <c r="BH288" s="331">
        <f>+IF(SUM($F354:BG354)&gt;=BH419*$F$9,0,BH354)</f>
        <v>0</v>
      </c>
      <c r="BI288" s="331">
        <f>+IF(SUM($F354:BH354)&gt;=BI419*$F$9,0,BI354)</f>
        <v>0</v>
      </c>
      <c r="BJ288" s="331">
        <f>+IF(SUM($F354:BI354)&gt;=BJ419*$F$9,0,BJ354)</f>
        <v>0</v>
      </c>
      <c r="BK288" s="331">
        <f>+IF(SUM($F354:BJ354)&gt;=BK419*$F$9,0,BK354)</f>
        <v>0</v>
      </c>
      <c r="BL288" s="331">
        <f>+IF(SUM($F354:BK354)&gt;=BL419*$F$9,0,BL354)</f>
        <v>0</v>
      </c>
      <c r="BM288" s="331">
        <f>+IF(SUM($F354:BL354)&gt;=BM419*$F$9,0,BM354)</f>
        <v>0</v>
      </c>
    </row>
    <row r="289" spans="5:65" ht="15.75">
      <c r="E289" s="416">
        <f t="shared" si="193"/>
        <v>43931</v>
      </c>
      <c r="F289" s="331">
        <f t="shared" si="192"/>
        <v>0</v>
      </c>
      <c r="G289" s="331">
        <f>+IF(SUM($F355:F355)&gt;=G420*$F$9,0,G355)</f>
        <v>0</v>
      </c>
      <c r="H289" s="331">
        <f>+IF(SUM($F355:G355)&gt;=H420*$F$9,0,H355)</f>
        <v>0</v>
      </c>
      <c r="I289" s="331">
        <f>+IF(SUM($F355:H355)&gt;=I420*$F$9,0,I355)</f>
        <v>0</v>
      </c>
      <c r="J289" s="331">
        <f>+IF(SUM($F355:I355)&gt;=J420*$F$9,0,J355)</f>
        <v>0</v>
      </c>
      <c r="K289" s="331">
        <f>+IF(SUM($F355:J355)&gt;=K420*$F$9,0,K355)</f>
        <v>0</v>
      </c>
      <c r="L289" s="331">
        <f>+IF(SUM($F355:K355)&gt;=L420*$F$9,0,L355)</f>
        <v>0</v>
      </c>
      <c r="M289" s="331">
        <f>+IF(SUM($F355:L355)&gt;=M420*$F$9,0,M355)</f>
        <v>0</v>
      </c>
      <c r="N289" s="331">
        <f>+IF(SUM($F355:M355)&gt;=N420*$F$9,0,N355)</f>
        <v>0</v>
      </c>
      <c r="O289" s="331">
        <f>+IF(SUM($F355:N355)&gt;=O420*$F$9,0,O355)</f>
        <v>0</v>
      </c>
      <c r="P289" s="331">
        <f>+IF(SUM($F355:O355)&gt;=P420*$F$9,0,P355)</f>
        <v>0</v>
      </c>
      <c r="Q289" s="331">
        <f>+IF(SUM($F355:P355)&gt;=Q420*$F$9,0,Q355)</f>
        <v>0</v>
      </c>
      <c r="R289" s="331">
        <f>+IF(SUM($F355:Q355)&gt;=R420*$F$9,0,R355)</f>
        <v>0</v>
      </c>
      <c r="S289" s="331">
        <f>+IF(SUM($F355:R355)&gt;=S420*$F$9,0,S355)</f>
        <v>0</v>
      </c>
      <c r="T289" s="331">
        <f>+IF(SUM($F355:S355)&gt;=T420*$F$9,0,T355)</f>
        <v>0</v>
      </c>
      <c r="U289" s="331">
        <f>+IF(SUM($F355:T355)&gt;=U420*$F$9,0,U355)</f>
        <v>0</v>
      </c>
      <c r="V289" s="331">
        <f>+IF(SUM($F355:U355)&gt;=V420*$F$9,0,V355)</f>
        <v>0</v>
      </c>
      <c r="W289" s="331">
        <f>+IF(SUM($F355:V355)&gt;=W420*$F$9,0,W355)</f>
        <v>0</v>
      </c>
      <c r="X289" s="331">
        <f>+IF(SUM($F355:W355)&gt;=X420*$F$9,0,X355)</f>
        <v>0</v>
      </c>
      <c r="Y289" s="331">
        <f>+IF(SUM($F355:X355)&gt;=Y420*$F$9,0,Y355)</f>
        <v>0</v>
      </c>
      <c r="Z289" s="331">
        <f>+IF(SUM($F355:Y355)&gt;=Z420*$F$9,0,Z355)</f>
        <v>0</v>
      </c>
      <c r="AA289" s="331">
        <f>+IF(SUM($F355:Z355)&gt;=AA420*$F$9,0,AA355)</f>
        <v>0</v>
      </c>
      <c r="AB289" s="331">
        <f>+IF(SUM($F355:AA355)&gt;=AB420*$F$9,0,AB355)</f>
        <v>0</v>
      </c>
      <c r="AC289" s="331">
        <f>+IF(SUM($F355:AB355)&gt;=AC420*$F$9,0,AC355)</f>
        <v>0</v>
      </c>
      <c r="AD289" s="331">
        <f>+IF(SUM($F355:AC355)&gt;=AD420*$F$9,0,AD355)</f>
        <v>0</v>
      </c>
      <c r="AE289" s="331">
        <f>+IF(SUM($F355:AD355)&gt;=AE420*$F$9,0,AE355)</f>
        <v>0</v>
      </c>
      <c r="AF289" s="331">
        <f>+IF(SUM($F355:AE355)&gt;=AF420*$F$9,0,AF355)</f>
        <v>0</v>
      </c>
      <c r="AG289" s="331">
        <f>+IF(SUM($F355:AF355)&gt;=AG420*$F$9,0,AG355)</f>
        <v>0</v>
      </c>
      <c r="AH289" s="331">
        <f>+IF(SUM($F355:AG355)&gt;=AH420*$F$9,0,AH355)</f>
        <v>0</v>
      </c>
      <c r="AI289" s="331">
        <f>+IF(SUM($F355:AH355)&gt;=AI420*$F$9,0,AI355)</f>
        <v>0</v>
      </c>
      <c r="AJ289" s="331">
        <f>+IF(SUM($F355:AI355)&gt;=AJ420*$F$9,0,AJ355)</f>
        <v>0</v>
      </c>
      <c r="AK289" s="331">
        <f>+IF(SUM($F355:AJ355)&gt;=AK420*$F$9,0,AK355)</f>
        <v>0</v>
      </c>
      <c r="AL289" s="331">
        <f>+IF(SUM($F355:AK355)&gt;=AL420*$F$9,0,AL355)</f>
        <v>0</v>
      </c>
      <c r="AM289" s="331">
        <f>+IF(SUM($F355:AL355)&gt;=AM420*$F$9,0,AM355)</f>
        <v>0</v>
      </c>
      <c r="AN289" s="331">
        <f>+IF(SUM($F355:AM355)&gt;=AN420*$F$9,0,AN355)</f>
        <v>0</v>
      </c>
      <c r="AO289" s="331">
        <f>+IF(SUM($F355:AN355)&gt;=AO420*$F$9,0,AO355)</f>
        <v>0</v>
      </c>
      <c r="AP289" s="331">
        <f>+IF(SUM($F355:AO355)&gt;=AP420*$F$9,0,AP355)</f>
        <v>0</v>
      </c>
      <c r="AQ289" s="331">
        <f>+IF(SUM($F355:AP355)&gt;=AQ420*$F$9,0,AQ355)</f>
        <v>0</v>
      </c>
      <c r="AR289" s="331">
        <f>+IF(SUM($F355:AQ355)&gt;=AR420*$F$9,0,AR355)</f>
        <v>0</v>
      </c>
      <c r="AS289" s="331">
        <f>+IF(SUM($F355:AR355)&gt;=AS420*$F$9,0,AS355)</f>
        <v>0</v>
      </c>
      <c r="AT289" s="331">
        <f>+IF(SUM($F355:AS355)&gt;=AT420*$F$9,0,AT355)</f>
        <v>0</v>
      </c>
      <c r="AU289" s="331">
        <f>+IF(SUM($F355:AT355)&gt;=AU420*$F$9,0,AU355)</f>
        <v>0</v>
      </c>
      <c r="AV289" s="331">
        <f>+IF(SUM($F355:AU355)&gt;=AV420*$F$9,0,AV355)</f>
        <v>0</v>
      </c>
      <c r="AW289" s="331">
        <f>+IF(SUM($F355:AV355)&gt;=AW420*$F$9,0,AW355)</f>
        <v>0</v>
      </c>
      <c r="AX289" s="331">
        <f>+IF(SUM($F355:AW355)&gt;=AX420*$F$9,0,AX355)</f>
        <v>0</v>
      </c>
      <c r="AY289" s="331">
        <f>+IF(SUM($F355:AX355)&gt;=AY420*$F$9,0,AY355)</f>
        <v>0</v>
      </c>
      <c r="AZ289" s="331">
        <f>+IF(SUM($F355:AY355)&gt;=AZ420*$F$9,0,AZ355)</f>
        <v>0</v>
      </c>
      <c r="BA289" s="331">
        <f>+IF(SUM($F355:AZ355)&gt;=BA420*$F$9,0,BA355)</f>
        <v>0</v>
      </c>
      <c r="BB289" s="331">
        <f>+IF(SUM($F355:BA355)&gt;=BB420*$F$9,0,BB355)</f>
        <v>0</v>
      </c>
      <c r="BC289" s="331">
        <f>+IF(SUM($F355:BB355)&gt;=BC420*$F$9,0,BC355)</f>
        <v>0</v>
      </c>
      <c r="BD289" s="331">
        <f>+IF(SUM($F355:BC355)&gt;=BD420*$F$9,0,BD355)</f>
        <v>0</v>
      </c>
      <c r="BE289" s="331">
        <f>+IF(SUM($F355:BD355)&gt;=BE420*$F$9,0,BE355)</f>
        <v>0</v>
      </c>
      <c r="BF289" s="331">
        <f>+IF(SUM($F355:BE355)&gt;=BF420*$F$9,0,BF355)</f>
        <v>0</v>
      </c>
      <c r="BG289" s="331">
        <f>+IF(SUM($F355:BF355)&gt;=BG420*$F$9,0,BG355)</f>
        <v>0</v>
      </c>
      <c r="BH289" s="331">
        <f>+IF(SUM($F355:BG355)&gt;=BH420*$F$9,0,BH355)</f>
        <v>0</v>
      </c>
      <c r="BI289" s="331">
        <f>+IF(SUM($F355:BH355)&gt;=BI420*$F$9,0,BI355)</f>
        <v>0</v>
      </c>
      <c r="BJ289" s="331">
        <f>+IF(SUM($F355:BI355)&gt;=BJ420*$F$9,0,BJ355)</f>
        <v>0</v>
      </c>
      <c r="BK289" s="331">
        <f>+IF(SUM($F355:BJ355)&gt;=BK420*$F$9,0,BK355)</f>
        <v>0</v>
      </c>
      <c r="BL289" s="331">
        <f>+IF(SUM($F355:BK355)&gt;=BL420*$F$9,0,BL355)</f>
        <v>0</v>
      </c>
      <c r="BM289" s="331">
        <f>+IF(SUM($F355:BL355)&gt;=BM420*$F$9,0,BM355)</f>
        <v>0</v>
      </c>
    </row>
    <row r="290" spans="5:65" ht="15.75">
      <c r="E290" s="416">
        <f t="shared" si="193"/>
        <v>43962</v>
      </c>
      <c r="F290" s="331">
        <f t="shared" si="192"/>
        <v>0</v>
      </c>
      <c r="G290" s="331">
        <f>+IF(SUM($F356:F356)&gt;=G421*$F$9,0,G356)</f>
        <v>0</v>
      </c>
      <c r="H290" s="331">
        <f>+IF(SUM($F356:G356)&gt;=H421*$F$9,0,H356)</f>
        <v>0</v>
      </c>
      <c r="I290" s="331">
        <f>+IF(SUM($F356:H356)&gt;=I421*$F$9,0,I356)</f>
        <v>0</v>
      </c>
      <c r="J290" s="331">
        <f>+IF(SUM($F356:I356)&gt;=J421*$F$9,0,J356)</f>
        <v>0</v>
      </c>
      <c r="K290" s="331">
        <f>+IF(SUM($F356:J356)&gt;=K421*$F$9,0,K356)</f>
        <v>0</v>
      </c>
      <c r="L290" s="331">
        <f>+IF(SUM($F356:K356)&gt;=L421*$F$9,0,L356)</f>
        <v>0</v>
      </c>
      <c r="M290" s="331">
        <f>+IF(SUM($F356:L356)&gt;=M421*$F$9,0,M356)</f>
        <v>0</v>
      </c>
      <c r="N290" s="331">
        <f>+IF(SUM($F356:M356)&gt;=N421*$F$9,0,N356)</f>
        <v>0</v>
      </c>
      <c r="O290" s="331">
        <f>+IF(SUM($F356:N356)&gt;=O421*$F$9,0,O356)</f>
        <v>0</v>
      </c>
      <c r="P290" s="331">
        <f>+IF(SUM($F356:O356)&gt;=P421*$F$9,0,P356)</f>
        <v>0</v>
      </c>
      <c r="Q290" s="331">
        <f>+IF(SUM($F356:P356)&gt;=Q421*$F$9,0,Q356)</f>
        <v>0</v>
      </c>
      <c r="R290" s="331">
        <f>+IF(SUM($F356:Q356)&gt;=R421*$F$9,0,R356)</f>
        <v>0</v>
      </c>
      <c r="S290" s="331">
        <f>+IF(SUM($F356:R356)&gt;=S421*$F$9,0,S356)</f>
        <v>0</v>
      </c>
      <c r="T290" s="331">
        <f>+IF(SUM($F356:S356)&gt;=T421*$F$9,0,T356)</f>
        <v>0</v>
      </c>
      <c r="U290" s="331">
        <f>+IF(SUM($F356:T356)&gt;=U421*$F$9,0,U356)</f>
        <v>0</v>
      </c>
      <c r="V290" s="331">
        <f>+IF(SUM($F356:U356)&gt;=V421*$F$9,0,V356)</f>
        <v>0</v>
      </c>
      <c r="W290" s="331">
        <f>+IF(SUM($F356:V356)&gt;=W421*$F$9,0,W356)</f>
        <v>0</v>
      </c>
      <c r="X290" s="331">
        <f>+IF(SUM($F356:W356)&gt;=X421*$F$9,0,X356)</f>
        <v>0</v>
      </c>
      <c r="Y290" s="331">
        <f>+IF(SUM($F356:X356)&gt;=Y421*$F$9,0,Y356)</f>
        <v>0</v>
      </c>
      <c r="Z290" s="331">
        <f>+IF(SUM($F356:Y356)&gt;=Z421*$F$9,0,Z356)</f>
        <v>0</v>
      </c>
      <c r="AA290" s="331">
        <f>+IF(SUM($F356:Z356)&gt;=AA421*$F$9,0,AA356)</f>
        <v>0</v>
      </c>
      <c r="AB290" s="331">
        <f>+IF(SUM($F356:AA356)&gt;=AB421*$F$9,0,AB356)</f>
        <v>0</v>
      </c>
      <c r="AC290" s="331">
        <f>+IF(SUM($F356:AB356)&gt;=AC421*$F$9,0,AC356)</f>
        <v>0</v>
      </c>
      <c r="AD290" s="331">
        <f>+IF(SUM($F356:AC356)&gt;=AD421*$F$9,0,AD356)</f>
        <v>0</v>
      </c>
      <c r="AE290" s="331">
        <f>+IF(SUM($F356:AD356)&gt;=AE421*$F$9,0,AE356)</f>
        <v>0</v>
      </c>
      <c r="AF290" s="331">
        <f>+IF(SUM($F356:AE356)&gt;=AF421*$F$9,0,AF356)</f>
        <v>0</v>
      </c>
      <c r="AG290" s="331">
        <f>+IF(SUM($F356:AF356)&gt;=AG421*$F$9,0,AG356)</f>
        <v>0</v>
      </c>
      <c r="AH290" s="331">
        <f>+IF(SUM($F356:AG356)&gt;=AH421*$F$9,0,AH356)</f>
        <v>0</v>
      </c>
      <c r="AI290" s="331">
        <f>+IF(SUM($F356:AH356)&gt;=AI421*$F$9,0,AI356)</f>
        <v>0</v>
      </c>
      <c r="AJ290" s="331">
        <f>+IF(SUM($F356:AI356)&gt;=AJ421*$F$9,0,AJ356)</f>
        <v>0</v>
      </c>
      <c r="AK290" s="331">
        <f>+IF(SUM($F356:AJ356)&gt;=AK421*$F$9,0,AK356)</f>
        <v>0</v>
      </c>
      <c r="AL290" s="331">
        <f>+IF(SUM($F356:AK356)&gt;=AL421*$F$9,0,AL356)</f>
        <v>0</v>
      </c>
      <c r="AM290" s="331">
        <f>+IF(SUM($F356:AL356)&gt;=AM421*$F$9,0,AM356)</f>
        <v>0</v>
      </c>
      <c r="AN290" s="331">
        <f>+IF(SUM($F356:AM356)&gt;=AN421*$F$9,0,AN356)</f>
        <v>0</v>
      </c>
      <c r="AO290" s="331">
        <f>+IF(SUM($F356:AN356)&gt;=AO421*$F$9,0,AO356)</f>
        <v>0</v>
      </c>
      <c r="AP290" s="331">
        <f>+IF(SUM($F356:AO356)&gt;=AP421*$F$9,0,AP356)</f>
        <v>0</v>
      </c>
      <c r="AQ290" s="331">
        <f>+IF(SUM($F356:AP356)&gt;=AQ421*$F$9,0,AQ356)</f>
        <v>0</v>
      </c>
      <c r="AR290" s="331">
        <f>+IF(SUM($F356:AQ356)&gt;=AR421*$F$9,0,AR356)</f>
        <v>0</v>
      </c>
      <c r="AS290" s="331">
        <f>+IF(SUM($F356:AR356)&gt;=AS421*$F$9,0,AS356)</f>
        <v>0</v>
      </c>
      <c r="AT290" s="331">
        <f>+IF(SUM($F356:AS356)&gt;=AT421*$F$9,0,AT356)</f>
        <v>0</v>
      </c>
      <c r="AU290" s="331">
        <f>+IF(SUM($F356:AT356)&gt;=AU421*$F$9,0,AU356)</f>
        <v>0</v>
      </c>
      <c r="AV290" s="331">
        <f>+IF(SUM($F356:AU356)&gt;=AV421*$F$9,0,AV356)</f>
        <v>0</v>
      </c>
      <c r="AW290" s="331">
        <f>+IF(SUM($F356:AV356)&gt;=AW421*$F$9,0,AW356)</f>
        <v>0</v>
      </c>
      <c r="AX290" s="331">
        <f>+IF(SUM($F356:AW356)&gt;=AX421*$F$9,0,AX356)</f>
        <v>0</v>
      </c>
      <c r="AY290" s="331">
        <f>+IF(SUM($F356:AX356)&gt;=AY421*$F$9,0,AY356)</f>
        <v>0</v>
      </c>
      <c r="AZ290" s="331">
        <f>+IF(SUM($F356:AY356)&gt;=AZ421*$F$9,0,AZ356)</f>
        <v>0</v>
      </c>
      <c r="BA290" s="331">
        <f>+IF(SUM($F356:AZ356)&gt;=BA421*$F$9,0,BA356)</f>
        <v>0</v>
      </c>
      <c r="BB290" s="331">
        <f>+IF(SUM($F356:BA356)&gt;=BB421*$F$9,0,BB356)</f>
        <v>0</v>
      </c>
      <c r="BC290" s="331">
        <f>+IF(SUM($F356:BB356)&gt;=BC421*$F$9,0,BC356)</f>
        <v>0</v>
      </c>
      <c r="BD290" s="331">
        <f>+IF(SUM($F356:BC356)&gt;=BD421*$F$9,0,BD356)</f>
        <v>0</v>
      </c>
      <c r="BE290" s="331">
        <f>+IF(SUM($F356:BD356)&gt;=BE421*$F$9,0,BE356)</f>
        <v>0</v>
      </c>
      <c r="BF290" s="331">
        <f>+IF(SUM($F356:BE356)&gt;=BF421*$F$9,0,BF356)</f>
        <v>0</v>
      </c>
      <c r="BG290" s="331">
        <f>+IF(SUM($F356:BF356)&gt;=BG421*$F$9,0,BG356)</f>
        <v>0</v>
      </c>
      <c r="BH290" s="331">
        <f>+IF(SUM($F356:BG356)&gt;=BH421*$F$9,0,BH356)</f>
        <v>0</v>
      </c>
      <c r="BI290" s="331">
        <f>+IF(SUM($F356:BH356)&gt;=BI421*$F$9,0,BI356)</f>
        <v>0</v>
      </c>
      <c r="BJ290" s="331">
        <f>+IF(SUM($F356:BI356)&gt;=BJ421*$F$9,0,BJ356)</f>
        <v>0</v>
      </c>
      <c r="BK290" s="331">
        <f>+IF(SUM($F356:BJ356)&gt;=BK421*$F$9,0,BK356)</f>
        <v>0</v>
      </c>
      <c r="BL290" s="331">
        <f>+IF(SUM($F356:BK356)&gt;=BL421*$F$9,0,BL356)</f>
        <v>0</v>
      </c>
      <c r="BM290" s="331">
        <f>+IF(SUM($F356:BL356)&gt;=BM421*$F$9,0,BM356)</f>
        <v>0</v>
      </c>
    </row>
    <row r="291" spans="5:65" ht="15.75">
      <c r="E291" s="416">
        <f t="shared" si="193"/>
        <v>43993</v>
      </c>
      <c r="F291" s="331">
        <f t="shared" si="192"/>
        <v>0</v>
      </c>
      <c r="G291" s="331">
        <f>+IF(SUM($F357:F357)&gt;=G422*$F$9,0,G357)</f>
        <v>0</v>
      </c>
      <c r="H291" s="331">
        <f>+IF(SUM($F357:G357)&gt;=H422*$F$9,0,H357)</f>
        <v>0</v>
      </c>
      <c r="I291" s="331">
        <f>+IF(SUM($F357:H357)&gt;=I422*$F$9,0,I357)</f>
        <v>0</v>
      </c>
      <c r="J291" s="331">
        <f>+IF(SUM($F357:I357)&gt;=J422*$F$9,0,J357)</f>
        <v>0</v>
      </c>
      <c r="K291" s="331">
        <f>+IF(SUM($F357:J357)&gt;=K422*$F$9,0,K357)</f>
        <v>0</v>
      </c>
      <c r="L291" s="331">
        <f>+IF(SUM($F357:K357)&gt;=L422*$F$9,0,L357)</f>
        <v>0</v>
      </c>
      <c r="M291" s="331">
        <f>+IF(SUM($F357:L357)&gt;=M422*$F$9,0,M357)</f>
        <v>0</v>
      </c>
      <c r="N291" s="331">
        <f>+IF(SUM($F357:M357)&gt;=N422*$F$9,0,N357)</f>
        <v>0</v>
      </c>
      <c r="O291" s="331">
        <f>+IF(SUM($F357:N357)&gt;=O422*$F$9,0,O357)</f>
        <v>0</v>
      </c>
      <c r="P291" s="331">
        <f>+IF(SUM($F357:O357)&gt;=P422*$F$9,0,P357)</f>
        <v>0</v>
      </c>
      <c r="Q291" s="331">
        <f>+IF(SUM($F357:P357)&gt;=Q422*$F$9,0,Q357)</f>
        <v>0</v>
      </c>
      <c r="R291" s="331">
        <f>+IF(SUM($F357:Q357)&gt;=R422*$F$9,0,R357)</f>
        <v>0</v>
      </c>
      <c r="S291" s="331">
        <f>+IF(SUM($F357:R357)&gt;=S422*$F$9,0,S357)</f>
        <v>0</v>
      </c>
      <c r="T291" s="331">
        <f>+IF(SUM($F357:S357)&gt;=T422*$F$9,0,T357)</f>
        <v>0</v>
      </c>
      <c r="U291" s="331">
        <f>+IF(SUM($F357:T357)&gt;=U422*$F$9,0,U357)</f>
        <v>0</v>
      </c>
      <c r="V291" s="331">
        <f>+IF(SUM($F357:U357)&gt;=V422*$F$9,0,V357)</f>
        <v>0</v>
      </c>
      <c r="W291" s="331">
        <f>+IF(SUM($F357:V357)&gt;=W422*$F$9,0,W357)</f>
        <v>0</v>
      </c>
      <c r="X291" s="331">
        <f>+IF(SUM($F357:W357)&gt;=X422*$F$9,0,X357)</f>
        <v>0</v>
      </c>
      <c r="Y291" s="331">
        <f>+IF(SUM($F357:X357)&gt;=Y422*$F$9,0,Y357)</f>
        <v>0</v>
      </c>
      <c r="Z291" s="331">
        <f>+IF(SUM($F357:Y357)&gt;=Z422*$F$9,0,Z357)</f>
        <v>0</v>
      </c>
      <c r="AA291" s="331">
        <f>+IF(SUM($F357:Z357)&gt;=AA422*$F$9,0,AA357)</f>
        <v>0</v>
      </c>
      <c r="AB291" s="331">
        <f>+IF(SUM($F357:AA357)&gt;=AB422*$F$9,0,AB357)</f>
        <v>0</v>
      </c>
      <c r="AC291" s="331">
        <f>+IF(SUM($F357:AB357)&gt;=AC422*$F$9,0,AC357)</f>
        <v>0</v>
      </c>
      <c r="AD291" s="331">
        <f>+IF(SUM($F357:AC357)&gt;=AD422*$F$9,0,AD357)</f>
        <v>0</v>
      </c>
      <c r="AE291" s="331">
        <f>+IF(SUM($F357:AD357)&gt;=AE422*$F$9,0,AE357)</f>
        <v>0</v>
      </c>
      <c r="AF291" s="331">
        <f>+IF(SUM($F357:AE357)&gt;=AF422*$F$9,0,AF357)</f>
        <v>0</v>
      </c>
      <c r="AG291" s="331">
        <f>+IF(SUM($F357:AF357)&gt;=AG422*$F$9,0,AG357)</f>
        <v>0</v>
      </c>
      <c r="AH291" s="331">
        <f>+IF(SUM($F357:AG357)&gt;=AH422*$F$9,0,AH357)</f>
        <v>0</v>
      </c>
      <c r="AI291" s="331">
        <f>+IF(SUM($F357:AH357)&gt;=AI422*$F$9,0,AI357)</f>
        <v>0</v>
      </c>
      <c r="AJ291" s="331">
        <f>+IF(SUM($F357:AI357)&gt;=AJ422*$F$9,0,AJ357)</f>
        <v>0</v>
      </c>
      <c r="AK291" s="331">
        <f>+IF(SUM($F357:AJ357)&gt;=AK422*$F$9,0,AK357)</f>
        <v>0</v>
      </c>
      <c r="AL291" s="331">
        <f>+IF(SUM($F357:AK357)&gt;=AL422*$F$9,0,AL357)</f>
        <v>0</v>
      </c>
      <c r="AM291" s="331">
        <f>+IF(SUM($F357:AL357)&gt;=AM422*$F$9,0,AM357)</f>
        <v>0</v>
      </c>
      <c r="AN291" s="331">
        <f>+IF(SUM($F357:AM357)&gt;=AN422*$F$9,0,AN357)</f>
        <v>0</v>
      </c>
      <c r="AO291" s="331">
        <f>+IF(SUM($F357:AN357)&gt;=AO422*$F$9,0,AO357)</f>
        <v>0</v>
      </c>
      <c r="AP291" s="331">
        <f>+IF(SUM($F357:AO357)&gt;=AP422*$F$9,0,AP357)</f>
        <v>0</v>
      </c>
      <c r="AQ291" s="331">
        <f>+IF(SUM($F357:AP357)&gt;=AQ422*$F$9,0,AQ357)</f>
        <v>0</v>
      </c>
      <c r="AR291" s="331">
        <f>+IF(SUM($F357:AQ357)&gt;=AR422*$F$9,0,AR357)</f>
        <v>0</v>
      </c>
      <c r="AS291" s="331">
        <f>+IF(SUM($F357:AR357)&gt;=AS422*$F$9,0,AS357)</f>
        <v>0</v>
      </c>
      <c r="AT291" s="331">
        <f>+IF(SUM($F357:AS357)&gt;=AT422*$F$9,0,AT357)</f>
        <v>0</v>
      </c>
      <c r="AU291" s="331">
        <f>+IF(SUM($F357:AT357)&gt;=AU422*$F$9,0,AU357)</f>
        <v>0</v>
      </c>
      <c r="AV291" s="331">
        <f>+IF(SUM($F357:AU357)&gt;=AV422*$F$9,0,AV357)</f>
        <v>0</v>
      </c>
      <c r="AW291" s="331">
        <f>+IF(SUM($F357:AV357)&gt;=AW422*$F$9,0,AW357)</f>
        <v>0</v>
      </c>
      <c r="AX291" s="331">
        <f>+IF(SUM($F357:AW357)&gt;=AX422*$F$9,0,AX357)</f>
        <v>0</v>
      </c>
      <c r="AY291" s="331">
        <f>+IF(SUM($F357:AX357)&gt;=AY422*$F$9,0,AY357)</f>
        <v>0</v>
      </c>
      <c r="AZ291" s="331">
        <f>+IF(SUM($F357:AY357)&gt;=AZ422*$F$9,0,AZ357)</f>
        <v>0</v>
      </c>
      <c r="BA291" s="331">
        <f>+IF(SUM($F357:AZ357)&gt;=BA422*$F$9,0,BA357)</f>
        <v>0</v>
      </c>
      <c r="BB291" s="331">
        <f>+IF(SUM($F357:BA357)&gt;=BB422*$F$9,0,BB357)</f>
        <v>0</v>
      </c>
      <c r="BC291" s="331">
        <f>+IF(SUM($F357:BB357)&gt;=BC422*$F$9,0,BC357)</f>
        <v>0</v>
      </c>
      <c r="BD291" s="331">
        <f>+IF(SUM($F357:BC357)&gt;=BD422*$F$9,0,BD357)</f>
        <v>0</v>
      </c>
      <c r="BE291" s="331">
        <f>+IF(SUM($F357:BD357)&gt;=BE422*$F$9,0,BE357)</f>
        <v>0</v>
      </c>
      <c r="BF291" s="331">
        <f>+IF(SUM($F357:BE357)&gt;=BF422*$F$9,0,BF357)</f>
        <v>0</v>
      </c>
      <c r="BG291" s="331">
        <f>+IF(SUM($F357:BF357)&gt;=BG422*$F$9,0,BG357)</f>
        <v>0</v>
      </c>
      <c r="BH291" s="331">
        <f>+IF(SUM($F357:BG357)&gt;=BH422*$F$9,0,BH357)</f>
        <v>0</v>
      </c>
      <c r="BI291" s="331">
        <f>+IF(SUM($F357:BH357)&gt;=BI422*$F$9,0,BI357)</f>
        <v>0</v>
      </c>
      <c r="BJ291" s="331">
        <f>+IF(SUM($F357:BI357)&gt;=BJ422*$F$9,0,BJ357)</f>
        <v>0</v>
      </c>
      <c r="BK291" s="331">
        <f>+IF(SUM($F357:BJ357)&gt;=BK422*$F$9,0,BK357)</f>
        <v>0</v>
      </c>
      <c r="BL291" s="331">
        <f>+IF(SUM($F357:BK357)&gt;=BL422*$F$9,0,BL357)</f>
        <v>0</v>
      </c>
      <c r="BM291" s="331">
        <f>+IF(SUM($F357:BL357)&gt;=BM422*$F$9,0,BM357)</f>
        <v>0</v>
      </c>
    </row>
    <row r="292" spans="5:65" ht="15.75">
      <c r="E292" s="416">
        <f t="shared" si="193"/>
        <v>44024</v>
      </c>
      <c r="F292" s="331">
        <f t="shared" si="192"/>
        <v>0</v>
      </c>
      <c r="G292" s="331">
        <f>+IF(SUM($F358:F358)&gt;=G423*$F$9,0,G358)</f>
        <v>0</v>
      </c>
      <c r="H292" s="331">
        <f>+IF(SUM($F358:G358)&gt;=H423*$F$9,0,H358)</f>
        <v>0</v>
      </c>
      <c r="I292" s="331">
        <f>+IF(SUM($F358:H358)&gt;=I423*$F$9,0,I358)</f>
        <v>0</v>
      </c>
      <c r="J292" s="331">
        <f>+IF(SUM($F358:I358)&gt;=J423*$F$9,0,J358)</f>
        <v>0</v>
      </c>
      <c r="K292" s="331">
        <f>+IF(SUM($F358:J358)&gt;=K423*$F$9,0,K358)</f>
        <v>0</v>
      </c>
      <c r="L292" s="331">
        <f>+IF(SUM($F358:K358)&gt;=L423*$F$9,0,L358)</f>
        <v>0</v>
      </c>
      <c r="M292" s="331">
        <f>+IF(SUM($F358:L358)&gt;=M423*$F$9,0,M358)</f>
        <v>0</v>
      </c>
      <c r="N292" s="331">
        <f>+IF(SUM($F358:M358)&gt;=N423*$F$9,0,N358)</f>
        <v>0</v>
      </c>
      <c r="O292" s="331">
        <f>+IF(SUM($F358:N358)&gt;=O423*$F$9,0,O358)</f>
        <v>0</v>
      </c>
      <c r="P292" s="331">
        <f>+IF(SUM($F358:O358)&gt;=P423*$F$9,0,P358)</f>
        <v>0</v>
      </c>
      <c r="Q292" s="331">
        <f>+IF(SUM($F358:P358)&gt;=Q423*$F$9,0,Q358)</f>
        <v>0</v>
      </c>
      <c r="R292" s="331">
        <f>+IF(SUM($F358:Q358)&gt;=R423*$F$9,0,R358)</f>
        <v>0</v>
      </c>
      <c r="S292" s="331">
        <f>+IF(SUM($F358:R358)&gt;=S423*$F$9,0,S358)</f>
        <v>0</v>
      </c>
      <c r="T292" s="331">
        <f>+IF(SUM($F358:S358)&gt;=T423*$F$9,0,T358)</f>
        <v>0</v>
      </c>
      <c r="U292" s="331">
        <f>+IF(SUM($F358:T358)&gt;=U423*$F$9,0,U358)</f>
        <v>0</v>
      </c>
      <c r="V292" s="331">
        <f>+IF(SUM($F358:U358)&gt;=V423*$F$9,0,V358)</f>
        <v>0</v>
      </c>
      <c r="W292" s="331">
        <f>+IF(SUM($F358:V358)&gt;=W423*$F$9,0,W358)</f>
        <v>0</v>
      </c>
      <c r="X292" s="331">
        <f>+IF(SUM($F358:W358)&gt;=X423*$F$9,0,X358)</f>
        <v>0</v>
      </c>
      <c r="Y292" s="331">
        <f>+IF(SUM($F358:X358)&gt;=Y423*$F$9,0,Y358)</f>
        <v>0</v>
      </c>
      <c r="Z292" s="331">
        <f>+IF(SUM($F358:Y358)&gt;=Z423*$F$9,0,Z358)</f>
        <v>0</v>
      </c>
      <c r="AA292" s="331">
        <f>+IF(SUM($F358:Z358)&gt;=AA423*$F$9,0,AA358)</f>
        <v>0</v>
      </c>
      <c r="AB292" s="331">
        <f>+IF(SUM($F358:AA358)&gt;=AB423*$F$9,0,AB358)</f>
        <v>0</v>
      </c>
      <c r="AC292" s="331">
        <f>+IF(SUM($F358:AB358)&gt;=AC423*$F$9,0,AC358)</f>
        <v>0</v>
      </c>
      <c r="AD292" s="331">
        <f>+IF(SUM($F358:AC358)&gt;=AD423*$F$9,0,AD358)</f>
        <v>0</v>
      </c>
      <c r="AE292" s="331">
        <f>+IF(SUM($F358:AD358)&gt;=AE423*$F$9,0,AE358)</f>
        <v>0</v>
      </c>
      <c r="AF292" s="331">
        <f>+IF(SUM($F358:AE358)&gt;=AF423*$F$9,0,AF358)</f>
        <v>0</v>
      </c>
      <c r="AG292" s="331">
        <f>+IF(SUM($F358:AF358)&gt;=AG423*$F$9,0,AG358)</f>
        <v>0</v>
      </c>
      <c r="AH292" s="331">
        <f>+IF(SUM($F358:AG358)&gt;=AH423*$F$9,0,AH358)</f>
        <v>0</v>
      </c>
      <c r="AI292" s="331">
        <f>+IF(SUM($F358:AH358)&gt;=AI423*$F$9,0,AI358)</f>
        <v>0</v>
      </c>
      <c r="AJ292" s="331">
        <f>+IF(SUM($F358:AI358)&gt;=AJ423*$F$9,0,AJ358)</f>
        <v>0</v>
      </c>
      <c r="AK292" s="331">
        <f>+IF(SUM($F358:AJ358)&gt;=AK423*$F$9,0,AK358)</f>
        <v>0</v>
      </c>
      <c r="AL292" s="331">
        <f>+IF(SUM($F358:AK358)&gt;=AL423*$F$9,0,AL358)</f>
        <v>0</v>
      </c>
      <c r="AM292" s="331">
        <f>+IF(SUM($F358:AL358)&gt;=AM423*$F$9,0,AM358)</f>
        <v>0</v>
      </c>
      <c r="AN292" s="331">
        <f>+IF(SUM($F358:AM358)&gt;=AN423*$F$9,0,AN358)</f>
        <v>0</v>
      </c>
      <c r="AO292" s="331">
        <f>+IF(SUM($F358:AN358)&gt;=AO423*$F$9,0,AO358)</f>
        <v>0</v>
      </c>
      <c r="AP292" s="331">
        <f>+IF(SUM($F358:AO358)&gt;=AP423*$F$9,0,AP358)</f>
        <v>0</v>
      </c>
      <c r="AQ292" s="331">
        <f>+IF(SUM($F358:AP358)&gt;=AQ423*$F$9,0,AQ358)</f>
        <v>0</v>
      </c>
      <c r="AR292" s="331">
        <f>+IF(SUM($F358:AQ358)&gt;=AR423*$F$9,0,AR358)</f>
        <v>0</v>
      </c>
      <c r="AS292" s="331">
        <f>+IF(SUM($F358:AR358)&gt;=AS423*$F$9,0,AS358)</f>
        <v>0</v>
      </c>
      <c r="AT292" s="331">
        <f>+IF(SUM($F358:AS358)&gt;=AT423*$F$9,0,AT358)</f>
        <v>0</v>
      </c>
      <c r="AU292" s="331">
        <f>+IF(SUM($F358:AT358)&gt;=AU423*$F$9,0,AU358)</f>
        <v>0</v>
      </c>
      <c r="AV292" s="331">
        <f>+IF(SUM($F358:AU358)&gt;=AV423*$F$9,0,AV358)</f>
        <v>0</v>
      </c>
      <c r="AW292" s="331">
        <f>+IF(SUM($F358:AV358)&gt;=AW423*$F$9,0,AW358)</f>
        <v>0</v>
      </c>
      <c r="AX292" s="331">
        <f>+IF(SUM($F358:AW358)&gt;=AX423*$F$9,0,AX358)</f>
        <v>0</v>
      </c>
      <c r="AY292" s="331">
        <f>+IF(SUM($F358:AX358)&gt;=AY423*$F$9,0,AY358)</f>
        <v>0</v>
      </c>
      <c r="AZ292" s="331">
        <f>+IF(SUM($F358:AY358)&gt;=AZ423*$F$9,0,AZ358)</f>
        <v>0</v>
      </c>
      <c r="BA292" s="331">
        <f>+IF(SUM($F358:AZ358)&gt;=BA423*$F$9,0,BA358)</f>
        <v>0</v>
      </c>
      <c r="BB292" s="331">
        <f>+IF(SUM($F358:BA358)&gt;=BB423*$F$9,0,BB358)</f>
        <v>0</v>
      </c>
      <c r="BC292" s="331">
        <f>+IF(SUM($F358:BB358)&gt;=BC423*$F$9,0,BC358)</f>
        <v>0</v>
      </c>
      <c r="BD292" s="331">
        <f>+IF(SUM($F358:BC358)&gt;=BD423*$F$9,0,BD358)</f>
        <v>0</v>
      </c>
      <c r="BE292" s="331">
        <f>+IF(SUM($F358:BD358)&gt;=BE423*$F$9,0,BE358)</f>
        <v>0</v>
      </c>
      <c r="BF292" s="331">
        <f>+IF(SUM($F358:BE358)&gt;=BF423*$F$9,0,BF358)</f>
        <v>0</v>
      </c>
      <c r="BG292" s="331">
        <f>+IF(SUM($F358:BF358)&gt;=BG423*$F$9,0,BG358)</f>
        <v>0</v>
      </c>
      <c r="BH292" s="331">
        <f>+IF(SUM($F358:BG358)&gt;=BH423*$F$9,0,BH358)</f>
        <v>0</v>
      </c>
      <c r="BI292" s="331">
        <f>+IF(SUM($F358:BH358)&gt;=BI423*$F$9,0,BI358)</f>
        <v>0</v>
      </c>
      <c r="BJ292" s="331">
        <f>+IF(SUM($F358:BI358)&gt;=BJ423*$F$9,0,BJ358)</f>
        <v>0</v>
      </c>
      <c r="BK292" s="331">
        <f>+IF(SUM($F358:BJ358)&gt;=BK423*$F$9,0,BK358)</f>
        <v>0</v>
      </c>
      <c r="BL292" s="331">
        <f>+IF(SUM($F358:BK358)&gt;=BL423*$F$9,0,BL358)</f>
        <v>0</v>
      </c>
      <c r="BM292" s="331">
        <f>+IF(SUM($F358:BL358)&gt;=BM423*$F$9,0,BM358)</f>
        <v>0</v>
      </c>
    </row>
    <row r="293" spans="5:65" ht="15.75">
      <c r="E293" s="416">
        <f t="shared" si="193"/>
        <v>44055</v>
      </c>
      <c r="F293" s="331">
        <f t="shared" si="192"/>
        <v>0</v>
      </c>
      <c r="G293" s="331">
        <f>+IF(SUM($F359:F359)&gt;=G424*$F$9,0,G359)</f>
        <v>0</v>
      </c>
      <c r="H293" s="331">
        <f>+IF(SUM($F359:G359)&gt;=H424*$F$9,0,H359)</f>
        <v>0</v>
      </c>
      <c r="I293" s="331">
        <f>+IF(SUM($F359:H359)&gt;=I424*$F$9,0,I359)</f>
        <v>0</v>
      </c>
      <c r="J293" s="331">
        <f>+IF(SUM($F359:I359)&gt;=J424*$F$9,0,J359)</f>
        <v>0</v>
      </c>
      <c r="K293" s="331">
        <f>+IF(SUM($F359:J359)&gt;=K424*$F$9,0,K359)</f>
        <v>0</v>
      </c>
      <c r="L293" s="331">
        <f>+IF(SUM($F359:K359)&gt;=L424*$F$9,0,L359)</f>
        <v>0</v>
      </c>
      <c r="M293" s="331">
        <f>+IF(SUM($F359:L359)&gt;=M424*$F$9,0,M359)</f>
        <v>0</v>
      </c>
      <c r="N293" s="331">
        <f>+IF(SUM($F359:M359)&gt;=N424*$F$9,0,N359)</f>
        <v>0</v>
      </c>
      <c r="O293" s="331">
        <f>+IF(SUM($F359:N359)&gt;=O424*$F$9,0,O359)</f>
        <v>0</v>
      </c>
      <c r="P293" s="331">
        <f>+IF(SUM($F359:O359)&gt;=P424*$F$9,0,P359)</f>
        <v>0</v>
      </c>
      <c r="Q293" s="331">
        <f>+IF(SUM($F359:P359)&gt;=Q424*$F$9,0,Q359)</f>
        <v>0</v>
      </c>
      <c r="R293" s="331">
        <f>+IF(SUM($F359:Q359)&gt;=R424*$F$9,0,R359)</f>
        <v>0</v>
      </c>
      <c r="S293" s="331">
        <f>+IF(SUM($F359:R359)&gt;=S424*$F$9,0,S359)</f>
        <v>0</v>
      </c>
      <c r="T293" s="331">
        <f>+IF(SUM($F359:S359)&gt;=T424*$F$9,0,T359)</f>
        <v>0</v>
      </c>
      <c r="U293" s="331">
        <f>+IF(SUM($F359:T359)&gt;=U424*$F$9,0,U359)</f>
        <v>0</v>
      </c>
      <c r="V293" s="331">
        <f>+IF(SUM($F359:U359)&gt;=V424*$F$9,0,V359)</f>
        <v>0</v>
      </c>
      <c r="W293" s="331">
        <f>+IF(SUM($F359:V359)&gt;=W424*$F$9,0,W359)</f>
        <v>0</v>
      </c>
      <c r="X293" s="331">
        <f>+IF(SUM($F359:W359)&gt;=X424*$F$9,0,X359)</f>
        <v>0</v>
      </c>
      <c r="Y293" s="331">
        <f>+IF(SUM($F359:X359)&gt;=Y424*$F$9,0,Y359)</f>
        <v>0</v>
      </c>
      <c r="Z293" s="331">
        <f>+IF(SUM($F359:Y359)&gt;=Z424*$F$9,0,Z359)</f>
        <v>0</v>
      </c>
      <c r="AA293" s="331">
        <f>+IF(SUM($F359:Z359)&gt;=AA424*$F$9,0,AA359)</f>
        <v>0</v>
      </c>
      <c r="AB293" s="331">
        <f>+IF(SUM($F359:AA359)&gt;=AB424*$F$9,0,AB359)</f>
        <v>0</v>
      </c>
      <c r="AC293" s="331">
        <f>+IF(SUM($F359:AB359)&gt;=AC424*$F$9,0,AC359)</f>
        <v>0</v>
      </c>
      <c r="AD293" s="331">
        <f>+IF(SUM($F359:AC359)&gt;=AD424*$F$9,0,AD359)</f>
        <v>0</v>
      </c>
      <c r="AE293" s="331">
        <f>+IF(SUM($F359:AD359)&gt;=AE424*$F$9,0,AE359)</f>
        <v>0</v>
      </c>
      <c r="AF293" s="331">
        <f>+IF(SUM($F359:AE359)&gt;=AF424*$F$9,0,AF359)</f>
        <v>0</v>
      </c>
      <c r="AG293" s="331">
        <f>+IF(SUM($F359:AF359)&gt;=AG424*$F$9,0,AG359)</f>
        <v>0</v>
      </c>
      <c r="AH293" s="331">
        <f>+IF(SUM($F359:AG359)&gt;=AH424*$F$9,0,AH359)</f>
        <v>0</v>
      </c>
      <c r="AI293" s="331">
        <f>+IF(SUM($F359:AH359)&gt;=AI424*$F$9,0,AI359)</f>
        <v>0</v>
      </c>
      <c r="AJ293" s="331">
        <f>+IF(SUM($F359:AI359)&gt;=AJ424*$F$9,0,AJ359)</f>
        <v>0</v>
      </c>
      <c r="AK293" s="331">
        <f>+IF(SUM($F359:AJ359)&gt;=AK424*$F$9,0,AK359)</f>
        <v>0</v>
      </c>
      <c r="AL293" s="331">
        <f>+IF(SUM($F359:AK359)&gt;=AL424*$F$9,0,AL359)</f>
        <v>0</v>
      </c>
      <c r="AM293" s="331">
        <f>+IF(SUM($F359:AL359)&gt;=AM424*$F$9,0,AM359)</f>
        <v>0</v>
      </c>
      <c r="AN293" s="331">
        <f>+IF(SUM($F359:AM359)&gt;=AN424*$F$9,0,AN359)</f>
        <v>0</v>
      </c>
      <c r="AO293" s="331">
        <f>+IF(SUM($F359:AN359)&gt;=AO424*$F$9,0,AO359)</f>
        <v>0</v>
      </c>
      <c r="AP293" s="331">
        <f>+IF(SUM($F359:AO359)&gt;=AP424*$F$9,0,AP359)</f>
        <v>0</v>
      </c>
      <c r="AQ293" s="331">
        <f>+IF(SUM($F359:AP359)&gt;=AQ424*$F$9,0,AQ359)</f>
        <v>0</v>
      </c>
      <c r="AR293" s="331">
        <f>+IF(SUM($F359:AQ359)&gt;=AR424*$F$9,0,AR359)</f>
        <v>0</v>
      </c>
      <c r="AS293" s="331">
        <f>+IF(SUM($F359:AR359)&gt;=AS424*$F$9,0,AS359)</f>
        <v>0</v>
      </c>
      <c r="AT293" s="331">
        <f>+IF(SUM($F359:AS359)&gt;=AT424*$F$9,0,AT359)</f>
        <v>0</v>
      </c>
      <c r="AU293" s="331">
        <f>+IF(SUM($F359:AT359)&gt;=AU424*$F$9,0,AU359)</f>
        <v>0</v>
      </c>
      <c r="AV293" s="331">
        <f>+IF(SUM($F359:AU359)&gt;=AV424*$F$9,0,AV359)</f>
        <v>0</v>
      </c>
      <c r="AW293" s="331">
        <f>+IF(SUM($F359:AV359)&gt;=AW424*$F$9,0,AW359)</f>
        <v>0</v>
      </c>
      <c r="AX293" s="331">
        <f>+IF(SUM($F359:AW359)&gt;=AX424*$F$9,0,AX359)</f>
        <v>0</v>
      </c>
      <c r="AY293" s="331">
        <f>+IF(SUM($F359:AX359)&gt;=AY424*$F$9,0,AY359)</f>
        <v>0</v>
      </c>
      <c r="AZ293" s="331">
        <f>+IF(SUM($F359:AY359)&gt;=AZ424*$F$9,0,AZ359)</f>
        <v>0</v>
      </c>
      <c r="BA293" s="331">
        <f>+IF(SUM($F359:AZ359)&gt;=BA424*$F$9,0,BA359)</f>
        <v>0</v>
      </c>
      <c r="BB293" s="331">
        <f>+IF(SUM($F359:BA359)&gt;=BB424*$F$9,0,BB359)</f>
        <v>0</v>
      </c>
      <c r="BC293" s="331">
        <f>+IF(SUM($F359:BB359)&gt;=BC424*$F$9,0,BC359)</f>
        <v>0</v>
      </c>
      <c r="BD293" s="331">
        <f>+IF(SUM($F359:BC359)&gt;=BD424*$F$9,0,BD359)</f>
        <v>0</v>
      </c>
      <c r="BE293" s="331">
        <f>+IF(SUM($F359:BD359)&gt;=BE424*$F$9,0,BE359)</f>
        <v>0</v>
      </c>
      <c r="BF293" s="331">
        <f>+IF(SUM($F359:BE359)&gt;=BF424*$F$9,0,BF359)</f>
        <v>0</v>
      </c>
      <c r="BG293" s="331">
        <f>+IF(SUM($F359:BF359)&gt;=BG424*$F$9,0,BG359)</f>
        <v>0</v>
      </c>
      <c r="BH293" s="331">
        <f>+IF(SUM($F359:BG359)&gt;=BH424*$F$9,0,BH359)</f>
        <v>0</v>
      </c>
      <c r="BI293" s="331">
        <f>+IF(SUM($F359:BH359)&gt;=BI424*$F$9,0,BI359)</f>
        <v>0</v>
      </c>
      <c r="BJ293" s="331">
        <f>+IF(SUM($F359:BI359)&gt;=BJ424*$F$9,0,BJ359)</f>
        <v>0</v>
      </c>
      <c r="BK293" s="331">
        <f>+IF(SUM($F359:BJ359)&gt;=BK424*$F$9,0,BK359)</f>
        <v>0</v>
      </c>
      <c r="BL293" s="331">
        <f>+IF(SUM($F359:BK359)&gt;=BL424*$F$9,0,BL359)</f>
        <v>0</v>
      </c>
      <c r="BM293" s="331">
        <f>+IF(SUM($F359:BL359)&gt;=BM424*$F$9,0,BM359)</f>
        <v>0</v>
      </c>
    </row>
    <row r="294" spans="5:65" ht="15.75">
      <c r="E294" s="416">
        <f t="shared" si="193"/>
        <v>44086</v>
      </c>
      <c r="F294" s="331">
        <f t="shared" si="192"/>
        <v>0</v>
      </c>
      <c r="G294" s="331">
        <f>+IF(SUM($F360:F360)&gt;=G425*$F$9,0,G360)</f>
        <v>0</v>
      </c>
      <c r="H294" s="331">
        <f>+IF(SUM($F360:G360)&gt;=H425*$F$9,0,H360)</f>
        <v>0</v>
      </c>
      <c r="I294" s="331">
        <f>+IF(SUM($F360:H360)&gt;=I425*$F$9,0,I360)</f>
        <v>0</v>
      </c>
      <c r="J294" s="331">
        <f>+IF(SUM($F360:I360)&gt;=J425*$F$9,0,J360)</f>
        <v>0</v>
      </c>
      <c r="K294" s="331">
        <f>+IF(SUM($F360:J360)&gt;=K425*$F$9,0,K360)</f>
        <v>0</v>
      </c>
      <c r="L294" s="331">
        <f>+IF(SUM($F360:K360)&gt;=L425*$F$9,0,L360)</f>
        <v>0</v>
      </c>
      <c r="M294" s="331">
        <f>+IF(SUM($F360:L360)&gt;=M425*$F$9,0,M360)</f>
        <v>0</v>
      </c>
      <c r="N294" s="331">
        <f>+IF(SUM($F360:M360)&gt;=N425*$F$9,0,N360)</f>
        <v>0</v>
      </c>
      <c r="O294" s="331">
        <f>+IF(SUM($F360:N360)&gt;=O425*$F$9,0,O360)</f>
        <v>0</v>
      </c>
      <c r="P294" s="331">
        <f>+IF(SUM($F360:O360)&gt;=P425*$F$9,0,P360)</f>
        <v>0</v>
      </c>
      <c r="Q294" s="331">
        <f>+IF(SUM($F360:P360)&gt;=Q425*$F$9,0,Q360)</f>
        <v>0</v>
      </c>
      <c r="R294" s="331">
        <f>+IF(SUM($F360:Q360)&gt;=R425*$F$9,0,R360)</f>
        <v>0</v>
      </c>
      <c r="S294" s="331">
        <f>+IF(SUM($F360:R360)&gt;=S425*$F$9,0,S360)</f>
        <v>0</v>
      </c>
      <c r="T294" s="331">
        <f>+IF(SUM($F360:S360)&gt;=T425*$F$9,0,T360)</f>
        <v>0</v>
      </c>
      <c r="U294" s="331">
        <f>+IF(SUM($F360:T360)&gt;=U425*$F$9,0,U360)</f>
        <v>0</v>
      </c>
      <c r="V294" s="331">
        <f>+IF(SUM($F360:U360)&gt;=V425*$F$9,0,V360)</f>
        <v>0</v>
      </c>
      <c r="W294" s="331">
        <f>+IF(SUM($F360:V360)&gt;=W425*$F$9,0,W360)</f>
        <v>0</v>
      </c>
      <c r="X294" s="331">
        <f>+IF(SUM($F360:W360)&gt;=X425*$F$9,0,X360)</f>
        <v>0</v>
      </c>
      <c r="Y294" s="331">
        <f>+IF(SUM($F360:X360)&gt;=Y425*$F$9,0,Y360)</f>
        <v>0</v>
      </c>
      <c r="Z294" s="331">
        <f>+IF(SUM($F360:Y360)&gt;=Z425*$F$9,0,Z360)</f>
        <v>0</v>
      </c>
      <c r="AA294" s="331">
        <f>+IF(SUM($F360:Z360)&gt;=AA425*$F$9,0,AA360)</f>
        <v>0</v>
      </c>
      <c r="AB294" s="331">
        <f>+IF(SUM($F360:AA360)&gt;=AB425*$F$9,0,AB360)</f>
        <v>0</v>
      </c>
      <c r="AC294" s="331">
        <f>+IF(SUM($F360:AB360)&gt;=AC425*$F$9,0,AC360)</f>
        <v>0</v>
      </c>
      <c r="AD294" s="331">
        <f>+IF(SUM($F360:AC360)&gt;=AD425*$F$9,0,AD360)</f>
        <v>0</v>
      </c>
      <c r="AE294" s="331">
        <f>+IF(SUM($F360:AD360)&gt;=AE425*$F$9,0,AE360)</f>
        <v>0</v>
      </c>
      <c r="AF294" s="331">
        <f>+IF(SUM($F360:AE360)&gt;=AF425*$F$9,0,AF360)</f>
        <v>0</v>
      </c>
      <c r="AG294" s="331">
        <f>+IF(SUM($F360:AF360)&gt;=AG425*$F$9,0,AG360)</f>
        <v>0</v>
      </c>
      <c r="AH294" s="331">
        <f>+IF(SUM($F360:AG360)&gt;=AH425*$F$9,0,AH360)</f>
        <v>0</v>
      </c>
      <c r="AI294" s="331">
        <f>+IF(SUM($F360:AH360)&gt;=AI425*$F$9,0,AI360)</f>
        <v>0</v>
      </c>
      <c r="AJ294" s="331">
        <f>+IF(SUM($F360:AI360)&gt;=AJ425*$F$9,0,AJ360)</f>
        <v>0</v>
      </c>
      <c r="AK294" s="331">
        <f>+IF(SUM($F360:AJ360)&gt;=AK425*$F$9,0,AK360)</f>
        <v>0</v>
      </c>
      <c r="AL294" s="331">
        <f>+IF(SUM($F360:AK360)&gt;=AL425*$F$9,0,AL360)</f>
        <v>0</v>
      </c>
      <c r="AM294" s="331">
        <f>+IF(SUM($F360:AL360)&gt;=AM425*$F$9,0,AM360)</f>
        <v>0</v>
      </c>
      <c r="AN294" s="331">
        <f>+IF(SUM($F360:AM360)&gt;=AN425*$F$9,0,AN360)</f>
        <v>0</v>
      </c>
      <c r="AO294" s="331">
        <f>+IF(SUM($F360:AN360)&gt;=AO425*$F$9,0,AO360)</f>
        <v>0</v>
      </c>
      <c r="AP294" s="331">
        <f>+IF(SUM($F360:AO360)&gt;=AP425*$F$9,0,AP360)</f>
        <v>0</v>
      </c>
      <c r="AQ294" s="331">
        <f>+IF(SUM($F360:AP360)&gt;=AQ425*$F$9,0,AQ360)</f>
        <v>0</v>
      </c>
      <c r="AR294" s="331">
        <f>+IF(SUM($F360:AQ360)&gt;=AR425*$F$9,0,AR360)</f>
        <v>0</v>
      </c>
      <c r="AS294" s="331">
        <f>+IF(SUM($F360:AR360)&gt;=AS425*$F$9,0,AS360)</f>
        <v>0</v>
      </c>
      <c r="AT294" s="331">
        <f>+IF(SUM($F360:AS360)&gt;=AT425*$F$9,0,AT360)</f>
        <v>0</v>
      </c>
      <c r="AU294" s="331">
        <f>+IF(SUM($F360:AT360)&gt;=AU425*$F$9,0,AU360)</f>
        <v>0</v>
      </c>
      <c r="AV294" s="331">
        <f>+IF(SUM($F360:AU360)&gt;=AV425*$F$9,0,AV360)</f>
        <v>0</v>
      </c>
      <c r="AW294" s="331">
        <f>+IF(SUM($F360:AV360)&gt;=AW425*$F$9,0,AW360)</f>
        <v>0</v>
      </c>
      <c r="AX294" s="331">
        <f>+IF(SUM($F360:AW360)&gt;=AX425*$F$9,0,AX360)</f>
        <v>0</v>
      </c>
      <c r="AY294" s="331">
        <f>+IF(SUM($F360:AX360)&gt;=AY425*$F$9,0,AY360)</f>
        <v>0</v>
      </c>
      <c r="AZ294" s="331">
        <f>+IF(SUM($F360:AY360)&gt;=AZ425*$F$9,0,AZ360)</f>
        <v>0</v>
      </c>
      <c r="BA294" s="331">
        <f>+IF(SUM($F360:AZ360)&gt;=BA425*$F$9,0,BA360)</f>
        <v>0</v>
      </c>
      <c r="BB294" s="331">
        <f>+IF(SUM($F360:BA360)&gt;=BB425*$F$9,0,BB360)</f>
        <v>0</v>
      </c>
      <c r="BC294" s="331">
        <f>+IF(SUM($F360:BB360)&gt;=BC425*$F$9,0,BC360)</f>
        <v>0</v>
      </c>
      <c r="BD294" s="331">
        <f>+IF(SUM($F360:BC360)&gt;=BD425*$F$9,0,BD360)</f>
        <v>0</v>
      </c>
      <c r="BE294" s="331">
        <f>+IF(SUM($F360:BD360)&gt;=BE425*$F$9,0,BE360)</f>
        <v>0</v>
      </c>
      <c r="BF294" s="331">
        <f>+IF(SUM($F360:BE360)&gt;=BF425*$F$9,0,BF360)</f>
        <v>0</v>
      </c>
      <c r="BG294" s="331">
        <f>+IF(SUM($F360:BF360)&gt;=BG425*$F$9,0,BG360)</f>
        <v>0</v>
      </c>
      <c r="BH294" s="331">
        <f>+IF(SUM($F360:BG360)&gt;=BH425*$F$9,0,BH360)</f>
        <v>0</v>
      </c>
      <c r="BI294" s="331">
        <f>+IF(SUM($F360:BH360)&gt;=BI425*$F$9,0,BI360)</f>
        <v>0</v>
      </c>
      <c r="BJ294" s="331">
        <f>+IF(SUM($F360:BI360)&gt;=BJ425*$F$9,0,BJ360)</f>
        <v>0</v>
      </c>
      <c r="BK294" s="331">
        <f>+IF(SUM($F360:BJ360)&gt;=BK425*$F$9,0,BK360)</f>
        <v>0</v>
      </c>
      <c r="BL294" s="331">
        <f>+IF(SUM($F360:BK360)&gt;=BL425*$F$9,0,BL360)</f>
        <v>0</v>
      </c>
      <c r="BM294" s="331">
        <f>+IF(SUM($F360:BL360)&gt;=BM425*$F$9,0,BM360)</f>
        <v>0</v>
      </c>
    </row>
    <row r="295" spans="5:65" ht="15.75">
      <c r="E295" s="416">
        <f t="shared" si="193"/>
        <v>44117</v>
      </c>
      <c r="F295" s="331">
        <f t="shared" si="192"/>
        <v>0</v>
      </c>
      <c r="G295" s="331">
        <f>+IF(SUM($F361:F361)&gt;=G426*$F$9,0,G361)</f>
        <v>0</v>
      </c>
      <c r="H295" s="331">
        <f>+IF(SUM($F361:G361)&gt;=H426*$F$9,0,H361)</f>
        <v>0</v>
      </c>
      <c r="I295" s="331">
        <f>+IF(SUM($F361:H361)&gt;=I426*$F$9,0,I361)</f>
        <v>0</v>
      </c>
      <c r="J295" s="331">
        <f>+IF(SUM($F361:I361)&gt;=J426*$F$9,0,J361)</f>
        <v>0</v>
      </c>
      <c r="K295" s="331">
        <f>+IF(SUM($F361:J361)&gt;=K426*$F$9,0,K361)</f>
        <v>0</v>
      </c>
      <c r="L295" s="331">
        <f>+IF(SUM($F361:K361)&gt;=L426*$F$9,0,L361)</f>
        <v>0</v>
      </c>
      <c r="M295" s="331">
        <f>+IF(SUM($F361:L361)&gt;=M426*$F$9,0,M361)</f>
        <v>0</v>
      </c>
      <c r="N295" s="331">
        <f>+IF(SUM($F361:M361)&gt;=N426*$F$9,0,N361)</f>
        <v>0</v>
      </c>
      <c r="O295" s="331">
        <f>+IF(SUM($F361:N361)&gt;=O426*$F$9,0,O361)</f>
        <v>0</v>
      </c>
      <c r="P295" s="331">
        <f>+IF(SUM($F361:O361)&gt;=P426*$F$9,0,P361)</f>
        <v>0</v>
      </c>
      <c r="Q295" s="331">
        <f>+IF(SUM($F361:P361)&gt;=Q426*$F$9,0,Q361)</f>
        <v>0</v>
      </c>
      <c r="R295" s="331">
        <f>+IF(SUM($F361:Q361)&gt;=R426*$F$9,0,R361)</f>
        <v>0</v>
      </c>
      <c r="S295" s="331">
        <f>+IF(SUM($F361:R361)&gt;=S426*$F$9,0,S361)</f>
        <v>0</v>
      </c>
      <c r="T295" s="331">
        <f>+IF(SUM($F361:S361)&gt;=T426*$F$9,0,T361)</f>
        <v>0</v>
      </c>
      <c r="U295" s="331">
        <f>+IF(SUM($F361:T361)&gt;=U426*$F$9,0,U361)</f>
        <v>0</v>
      </c>
      <c r="V295" s="331">
        <f>+IF(SUM($F361:U361)&gt;=V426*$F$9,0,V361)</f>
        <v>0</v>
      </c>
      <c r="W295" s="331">
        <f>+IF(SUM($F361:V361)&gt;=W426*$F$9,0,W361)</f>
        <v>0</v>
      </c>
      <c r="X295" s="331">
        <f>+IF(SUM($F361:W361)&gt;=X426*$F$9,0,X361)</f>
        <v>0</v>
      </c>
      <c r="Y295" s="331">
        <f>+IF(SUM($F361:X361)&gt;=Y426*$F$9,0,Y361)</f>
        <v>0</v>
      </c>
      <c r="Z295" s="331">
        <f>+IF(SUM($F361:Y361)&gt;=Z426*$F$9,0,Z361)</f>
        <v>0</v>
      </c>
      <c r="AA295" s="331">
        <f>+IF(SUM($F361:Z361)&gt;=AA426*$F$9,0,AA361)</f>
        <v>0</v>
      </c>
      <c r="AB295" s="331">
        <f>+IF(SUM($F361:AA361)&gt;=AB426*$F$9,0,AB361)</f>
        <v>0</v>
      </c>
      <c r="AC295" s="331">
        <f>+IF(SUM($F361:AB361)&gt;=AC426*$F$9,0,AC361)</f>
        <v>0</v>
      </c>
      <c r="AD295" s="331">
        <f>+IF(SUM($F361:AC361)&gt;=AD426*$F$9,0,AD361)</f>
        <v>0</v>
      </c>
      <c r="AE295" s="331">
        <f>+IF(SUM($F361:AD361)&gt;=AE426*$F$9,0,AE361)</f>
        <v>0</v>
      </c>
      <c r="AF295" s="331">
        <f>+IF(SUM($F361:AE361)&gt;=AF426*$F$9,0,AF361)</f>
        <v>0</v>
      </c>
      <c r="AG295" s="331">
        <f>+IF(SUM($F361:AF361)&gt;=AG426*$F$9,0,AG361)</f>
        <v>0</v>
      </c>
      <c r="AH295" s="331">
        <f>+IF(SUM($F361:AG361)&gt;=AH426*$F$9,0,AH361)</f>
        <v>0</v>
      </c>
      <c r="AI295" s="331">
        <f>+IF(SUM($F361:AH361)&gt;=AI426*$F$9,0,AI361)</f>
        <v>0</v>
      </c>
      <c r="AJ295" s="331">
        <f>+IF(SUM($F361:AI361)&gt;=AJ426*$F$9,0,AJ361)</f>
        <v>0</v>
      </c>
      <c r="AK295" s="331">
        <f>+IF(SUM($F361:AJ361)&gt;=AK426*$F$9,0,AK361)</f>
        <v>0</v>
      </c>
      <c r="AL295" s="331">
        <f>+IF(SUM($F361:AK361)&gt;=AL426*$F$9,0,AL361)</f>
        <v>0</v>
      </c>
      <c r="AM295" s="331">
        <f>+IF(SUM($F361:AL361)&gt;=AM426*$F$9,0,AM361)</f>
        <v>0</v>
      </c>
      <c r="AN295" s="331">
        <f>+IF(SUM($F361:AM361)&gt;=AN426*$F$9,0,AN361)</f>
        <v>0</v>
      </c>
      <c r="AO295" s="331">
        <f>+IF(SUM($F361:AN361)&gt;=AO426*$F$9,0,AO361)</f>
        <v>0</v>
      </c>
      <c r="AP295" s="331">
        <f>+IF(SUM($F361:AO361)&gt;=AP426*$F$9,0,AP361)</f>
        <v>0</v>
      </c>
      <c r="AQ295" s="331">
        <f>+IF(SUM($F361:AP361)&gt;=AQ426*$F$9,0,AQ361)</f>
        <v>0</v>
      </c>
      <c r="AR295" s="331">
        <f>+IF(SUM($F361:AQ361)&gt;=AR426*$F$9,0,AR361)</f>
        <v>0</v>
      </c>
      <c r="AS295" s="331">
        <f>+IF(SUM($F361:AR361)&gt;=AS426*$F$9,0,AS361)</f>
        <v>0</v>
      </c>
      <c r="AT295" s="331">
        <f>+IF(SUM($F361:AS361)&gt;=AT426*$F$9,0,AT361)</f>
        <v>0</v>
      </c>
      <c r="AU295" s="331">
        <f>+IF(SUM($F361:AT361)&gt;=AU426*$F$9,0,AU361)</f>
        <v>0</v>
      </c>
      <c r="AV295" s="331">
        <f>+IF(SUM($F361:AU361)&gt;=AV426*$F$9,0,AV361)</f>
        <v>0</v>
      </c>
      <c r="AW295" s="331">
        <f>+IF(SUM($F361:AV361)&gt;=AW426*$F$9,0,AW361)</f>
        <v>0</v>
      </c>
      <c r="AX295" s="331">
        <f>+IF(SUM($F361:AW361)&gt;=AX426*$F$9,0,AX361)</f>
        <v>0</v>
      </c>
      <c r="AY295" s="331">
        <f>+IF(SUM($F361:AX361)&gt;=AY426*$F$9,0,AY361)</f>
        <v>0</v>
      </c>
      <c r="AZ295" s="331">
        <f>+IF(SUM($F361:AY361)&gt;=AZ426*$F$9,0,AZ361)</f>
        <v>0</v>
      </c>
      <c r="BA295" s="331">
        <f>+IF(SUM($F361:AZ361)&gt;=BA426*$F$9,0,BA361)</f>
        <v>0</v>
      </c>
      <c r="BB295" s="331">
        <f>+IF(SUM($F361:BA361)&gt;=BB426*$F$9,0,BB361)</f>
        <v>0</v>
      </c>
      <c r="BC295" s="331">
        <f>+IF(SUM($F361:BB361)&gt;=BC426*$F$9,0,BC361)</f>
        <v>0</v>
      </c>
      <c r="BD295" s="331">
        <f>+IF(SUM($F361:BC361)&gt;=BD426*$F$9,0,BD361)</f>
        <v>0</v>
      </c>
      <c r="BE295" s="331">
        <f>+IF(SUM($F361:BD361)&gt;=BE426*$F$9,0,BE361)</f>
        <v>0</v>
      </c>
      <c r="BF295" s="331">
        <f>+IF(SUM($F361:BE361)&gt;=BF426*$F$9,0,BF361)</f>
        <v>0</v>
      </c>
      <c r="BG295" s="331">
        <f>+IF(SUM($F361:BF361)&gt;=BG426*$F$9,0,BG361)</f>
        <v>0</v>
      </c>
      <c r="BH295" s="331">
        <f>+IF(SUM($F361:BG361)&gt;=BH426*$F$9,0,BH361)</f>
        <v>0</v>
      </c>
      <c r="BI295" s="331">
        <f>+IF(SUM($F361:BH361)&gt;=BI426*$F$9,0,BI361)</f>
        <v>0</v>
      </c>
      <c r="BJ295" s="331">
        <f>+IF(SUM($F361:BI361)&gt;=BJ426*$F$9,0,BJ361)</f>
        <v>0</v>
      </c>
      <c r="BK295" s="331">
        <f>+IF(SUM($F361:BJ361)&gt;=BK426*$F$9,0,BK361)</f>
        <v>0</v>
      </c>
      <c r="BL295" s="331">
        <f>+IF(SUM($F361:BK361)&gt;=BL426*$F$9,0,BL361)</f>
        <v>0</v>
      </c>
      <c r="BM295" s="331">
        <f>+IF(SUM($F361:BL361)&gt;=BM426*$F$9,0,BM361)</f>
        <v>0</v>
      </c>
    </row>
    <row r="296" spans="5:65" ht="15.75">
      <c r="E296" s="416">
        <f t="shared" si="193"/>
        <v>44148</v>
      </c>
      <c r="F296" s="331">
        <f t="shared" si="192"/>
        <v>0</v>
      </c>
      <c r="G296" s="331">
        <f>+IF(SUM($F362:F362)&gt;=G427*$F$9,0,G362)</f>
        <v>0</v>
      </c>
      <c r="H296" s="331">
        <f>+IF(SUM($F362:G362)&gt;=H427*$F$9,0,H362)</f>
        <v>0</v>
      </c>
      <c r="I296" s="331">
        <f>+IF(SUM($F362:H362)&gt;=I427*$F$9,0,I362)</f>
        <v>0</v>
      </c>
      <c r="J296" s="331">
        <f>+IF(SUM($F362:I362)&gt;=J427*$F$9,0,J362)</f>
        <v>0</v>
      </c>
      <c r="K296" s="331">
        <f>+IF(SUM($F362:J362)&gt;=K427*$F$9,0,K362)</f>
        <v>0</v>
      </c>
      <c r="L296" s="331">
        <f>+IF(SUM($F362:K362)&gt;=L427*$F$9,0,L362)</f>
        <v>0</v>
      </c>
      <c r="M296" s="331">
        <f>+IF(SUM($F362:L362)&gt;=M427*$F$9,0,M362)</f>
        <v>0</v>
      </c>
      <c r="N296" s="331">
        <f>+IF(SUM($F362:M362)&gt;=N427*$F$9,0,N362)</f>
        <v>0</v>
      </c>
      <c r="O296" s="331">
        <f>+IF(SUM($F362:N362)&gt;=O427*$F$9,0,O362)</f>
        <v>0</v>
      </c>
      <c r="P296" s="331">
        <f>+IF(SUM($F362:O362)&gt;=P427*$F$9,0,P362)</f>
        <v>0</v>
      </c>
      <c r="Q296" s="331">
        <f>+IF(SUM($F362:P362)&gt;=Q427*$F$9,0,Q362)</f>
        <v>0</v>
      </c>
      <c r="R296" s="331">
        <f>+IF(SUM($F362:Q362)&gt;=R427*$F$9,0,R362)</f>
        <v>0</v>
      </c>
      <c r="S296" s="331">
        <f>+IF(SUM($F362:R362)&gt;=S427*$F$9,0,S362)</f>
        <v>0</v>
      </c>
      <c r="T296" s="331">
        <f>+IF(SUM($F362:S362)&gt;=T427*$F$9,0,T362)</f>
        <v>0</v>
      </c>
      <c r="U296" s="331">
        <f>+IF(SUM($F362:T362)&gt;=U427*$F$9,0,U362)</f>
        <v>0</v>
      </c>
      <c r="V296" s="331">
        <f>+IF(SUM($F362:U362)&gt;=V427*$F$9,0,V362)</f>
        <v>0</v>
      </c>
      <c r="W296" s="331">
        <f>+IF(SUM($F362:V362)&gt;=W427*$F$9,0,W362)</f>
        <v>0</v>
      </c>
      <c r="X296" s="331">
        <f>+IF(SUM($F362:W362)&gt;=X427*$F$9,0,X362)</f>
        <v>0</v>
      </c>
      <c r="Y296" s="331">
        <f>+IF(SUM($F362:X362)&gt;=Y427*$F$9,0,Y362)</f>
        <v>0</v>
      </c>
      <c r="Z296" s="331">
        <f>+IF(SUM($F362:Y362)&gt;=Z427*$F$9,0,Z362)</f>
        <v>0</v>
      </c>
      <c r="AA296" s="331">
        <f>+IF(SUM($F362:Z362)&gt;=AA427*$F$9,0,AA362)</f>
        <v>0</v>
      </c>
      <c r="AB296" s="331">
        <f>+IF(SUM($F362:AA362)&gt;=AB427*$F$9,0,AB362)</f>
        <v>0</v>
      </c>
      <c r="AC296" s="331">
        <f>+IF(SUM($F362:AB362)&gt;=AC427*$F$9,0,AC362)</f>
        <v>0</v>
      </c>
      <c r="AD296" s="331">
        <f>+IF(SUM($F362:AC362)&gt;=AD427*$F$9,0,AD362)</f>
        <v>0</v>
      </c>
      <c r="AE296" s="331">
        <f>+IF(SUM($F362:AD362)&gt;=AE427*$F$9,0,AE362)</f>
        <v>0</v>
      </c>
      <c r="AF296" s="331">
        <f>+IF(SUM($F362:AE362)&gt;=AF427*$F$9,0,AF362)</f>
        <v>0</v>
      </c>
      <c r="AG296" s="331">
        <f>+IF(SUM($F362:AF362)&gt;=AG427*$F$9,0,AG362)</f>
        <v>0</v>
      </c>
      <c r="AH296" s="331">
        <f>+IF(SUM($F362:AG362)&gt;=AH427*$F$9,0,AH362)</f>
        <v>0</v>
      </c>
      <c r="AI296" s="331">
        <f>+IF(SUM($F362:AH362)&gt;=AI427*$F$9,0,AI362)</f>
        <v>0</v>
      </c>
      <c r="AJ296" s="331">
        <f>+IF(SUM($F362:AI362)&gt;=AJ427*$F$9,0,AJ362)</f>
        <v>0</v>
      </c>
      <c r="AK296" s="331">
        <f>+IF(SUM($F362:AJ362)&gt;=AK427*$F$9,0,AK362)</f>
        <v>0</v>
      </c>
      <c r="AL296" s="331">
        <f>+IF(SUM($F362:AK362)&gt;=AL427*$F$9,0,AL362)</f>
        <v>0</v>
      </c>
      <c r="AM296" s="331">
        <f>+IF(SUM($F362:AL362)&gt;=AM427*$F$9,0,AM362)</f>
        <v>0</v>
      </c>
      <c r="AN296" s="331">
        <f>+IF(SUM($F362:AM362)&gt;=AN427*$F$9,0,AN362)</f>
        <v>0</v>
      </c>
      <c r="AO296" s="331">
        <f>+IF(SUM($F362:AN362)&gt;=AO427*$F$9,0,AO362)</f>
        <v>0</v>
      </c>
      <c r="AP296" s="331">
        <f>+IF(SUM($F362:AO362)&gt;=AP427*$F$9,0,AP362)</f>
        <v>0</v>
      </c>
      <c r="AQ296" s="331">
        <f>+IF(SUM($F362:AP362)&gt;=AQ427*$F$9,0,AQ362)</f>
        <v>0</v>
      </c>
      <c r="AR296" s="331">
        <f>+IF(SUM($F362:AQ362)&gt;=AR427*$F$9,0,AR362)</f>
        <v>0</v>
      </c>
      <c r="AS296" s="331">
        <f>+IF(SUM($F362:AR362)&gt;=AS427*$F$9,0,AS362)</f>
        <v>0</v>
      </c>
      <c r="AT296" s="331">
        <f>+IF(SUM($F362:AS362)&gt;=AT427*$F$9,0,AT362)</f>
        <v>0</v>
      </c>
      <c r="AU296" s="331">
        <f>+IF(SUM($F362:AT362)&gt;=AU427*$F$9,0,AU362)</f>
        <v>0</v>
      </c>
      <c r="AV296" s="331">
        <f>+IF(SUM($F362:AU362)&gt;=AV427*$F$9,0,AV362)</f>
        <v>0</v>
      </c>
      <c r="AW296" s="331">
        <f>+IF(SUM($F362:AV362)&gt;=AW427*$F$9,0,AW362)</f>
        <v>0</v>
      </c>
      <c r="AX296" s="331">
        <f>+IF(SUM($F362:AW362)&gt;=AX427*$F$9,0,AX362)</f>
        <v>0</v>
      </c>
      <c r="AY296" s="331">
        <f>+IF(SUM($F362:AX362)&gt;=AY427*$F$9,0,AY362)</f>
        <v>0</v>
      </c>
      <c r="AZ296" s="331">
        <f>+IF(SUM($F362:AY362)&gt;=AZ427*$F$9,0,AZ362)</f>
        <v>0</v>
      </c>
      <c r="BA296" s="331">
        <f>+IF(SUM($F362:AZ362)&gt;=BA427*$F$9,0,BA362)</f>
        <v>0</v>
      </c>
      <c r="BB296" s="331">
        <f>+IF(SUM($F362:BA362)&gt;=BB427*$F$9,0,BB362)</f>
        <v>0</v>
      </c>
      <c r="BC296" s="331">
        <f>+IF(SUM($F362:BB362)&gt;=BC427*$F$9,0,BC362)</f>
        <v>0</v>
      </c>
      <c r="BD296" s="331">
        <f>+IF(SUM($F362:BC362)&gt;=BD427*$F$9,0,BD362)</f>
        <v>0</v>
      </c>
      <c r="BE296" s="331">
        <f>+IF(SUM($F362:BD362)&gt;=BE427*$F$9,0,BE362)</f>
        <v>0</v>
      </c>
      <c r="BF296" s="331">
        <f>+IF(SUM($F362:BE362)&gt;=BF427*$F$9,0,BF362)</f>
        <v>0</v>
      </c>
      <c r="BG296" s="331">
        <f>+IF(SUM($F362:BF362)&gt;=BG427*$F$9,0,BG362)</f>
        <v>0</v>
      </c>
      <c r="BH296" s="331">
        <f>+IF(SUM($F362:BG362)&gt;=BH427*$F$9,0,BH362)</f>
        <v>0</v>
      </c>
      <c r="BI296" s="331">
        <f>+IF(SUM($F362:BH362)&gt;=BI427*$F$9,0,BI362)</f>
        <v>0</v>
      </c>
      <c r="BJ296" s="331">
        <f>+IF(SUM($F362:BI362)&gt;=BJ427*$F$9,0,BJ362)</f>
        <v>0</v>
      </c>
      <c r="BK296" s="331">
        <f>+IF(SUM($F362:BJ362)&gt;=BK427*$F$9,0,BK362)</f>
        <v>0</v>
      </c>
      <c r="BL296" s="331">
        <f>+IF(SUM($F362:BK362)&gt;=BL427*$F$9,0,BL362)</f>
        <v>0</v>
      </c>
      <c r="BM296" s="331">
        <f>+IF(SUM($F362:BL362)&gt;=BM427*$F$9,0,BM362)</f>
        <v>0</v>
      </c>
    </row>
    <row r="297" spans="5:65" ht="15.75">
      <c r="E297" s="416">
        <f t="shared" si="193"/>
        <v>44179</v>
      </c>
      <c r="F297" s="331">
        <f t="shared" si="192"/>
        <v>0</v>
      </c>
      <c r="G297" s="331">
        <f>+IF(SUM($F363:F363)&gt;=G428*$F$9,0,G363)</f>
        <v>0</v>
      </c>
      <c r="H297" s="331">
        <f>+IF(SUM($F363:G363)&gt;=H428*$F$9,0,H363)</f>
        <v>0</v>
      </c>
      <c r="I297" s="331">
        <f>+IF(SUM($F363:H363)&gt;=I428*$F$9,0,I363)</f>
        <v>0</v>
      </c>
      <c r="J297" s="331">
        <f>+IF(SUM($F363:I363)&gt;=J428*$F$9,0,J363)</f>
        <v>0</v>
      </c>
      <c r="K297" s="331">
        <f>+IF(SUM($F363:J363)&gt;=K428*$F$9,0,K363)</f>
        <v>0</v>
      </c>
      <c r="L297" s="331">
        <f>+IF(SUM($F363:K363)&gt;=L428*$F$9,0,L363)</f>
        <v>0</v>
      </c>
      <c r="M297" s="331">
        <f>+IF(SUM($F363:L363)&gt;=M428*$F$9,0,M363)</f>
        <v>0</v>
      </c>
      <c r="N297" s="331">
        <f>+IF(SUM($F363:M363)&gt;=N428*$F$9,0,N363)</f>
        <v>0</v>
      </c>
      <c r="O297" s="331">
        <f>+IF(SUM($F363:N363)&gt;=O428*$F$9,0,O363)</f>
        <v>0</v>
      </c>
      <c r="P297" s="331">
        <f>+IF(SUM($F363:O363)&gt;=P428*$F$9,0,P363)</f>
        <v>0</v>
      </c>
      <c r="Q297" s="331">
        <f>+IF(SUM($F363:P363)&gt;=Q428*$F$9,0,Q363)</f>
        <v>0</v>
      </c>
      <c r="R297" s="331">
        <f>+IF(SUM($F363:Q363)&gt;=R428*$F$9,0,R363)</f>
        <v>0</v>
      </c>
      <c r="S297" s="331">
        <f>+IF(SUM($F363:R363)&gt;=S428*$F$9,0,S363)</f>
        <v>0</v>
      </c>
      <c r="T297" s="331">
        <f>+IF(SUM($F363:S363)&gt;=T428*$F$9,0,T363)</f>
        <v>0</v>
      </c>
      <c r="U297" s="331">
        <f>+IF(SUM($F363:T363)&gt;=U428*$F$9,0,U363)</f>
        <v>0</v>
      </c>
      <c r="V297" s="331">
        <f>+IF(SUM($F363:U363)&gt;=V428*$F$9,0,V363)</f>
        <v>0</v>
      </c>
      <c r="W297" s="331">
        <f>+IF(SUM($F363:V363)&gt;=W428*$F$9,0,W363)</f>
        <v>0</v>
      </c>
      <c r="X297" s="331">
        <f>+IF(SUM($F363:W363)&gt;=X428*$F$9,0,X363)</f>
        <v>0</v>
      </c>
      <c r="Y297" s="331">
        <f>+IF(SUM($F363:X363)&gt;=Y428*$F$9,0,Y363)</f>
        <v>0</v>
      </c>
      <c r="Z297" s="331">
        <f>+IF(SUM($F363:Y363)&gt;=Z428*$F$9,0,Z363)</f>
        <v>0</v>
      </c>
      <c r="AA297" s="331">
        <f>+IF(SUM($F363:Z363)&gt;=AA428*$F$9,0,AA363)</f>
        <v>0</v>
      </c>
      <c r="AB297" s="331">
        <f>+IF(SUM($F363:AA363)&gt;=AB428*$F$9,0,AB363)</f>
        <v>0</v>
      </c>
      <c r="AC297" s="331">
        <f>+IF(SUM($F363:AB363)&gt;=AC428*$F$9,0,AC363)</f>
        <v>0</v>
      </c>
      <c r="AD297" s="331">
        <f>+IF(SUM($F363:AC363)&gt;=AD428*$F$9,0,AD363)</f>
        <v>0</v>
      </c>
      <c r="AE297" s="331">
        <f>+IF(SUM($F363:AD363)&gt;=AE428*$F$9,0,AE363)</f>
        <v>0</v>
      </c>
      <c r="AF297" s="331">
        <f>+IF(SUM($F363:AE363)&gt;=AF428*$F$9,0,AF363)</f>
        <v>0</v>
      </c>
      <c r="AG297" s="331">
        <f>+IF(SUM($F363:AF363)&gt;=AG428*$F$9,0,AG363)</f>
        <v>0</v>
      </c>
      <c r="AH297" s="331">
        <f>+IF(SUM($F363:AG363)&gt;=AH428*$F$9,0,AH363)</f>
        <v>0</v>
      </c>
      <c r="AI297" s="331">
        <f>+IF(SUM($F363:AH363)&gt;=AI428*$F$9,0,AI363)</f>
        <v>0</v>
      </c>
      <c r="AJ297" s="331">
        <f>+IF(SUM($F363:AI363)&gt;=AJ428*$F$9,0,AJ363)</f>
        <v>0</v>
      </c>
      <c r="AK297" s="331">
        <f>+IF(SUM($F363:AJ363)&gt;=AK428*$F$9,0,AK363)</f>
        <v>0</v>
      </c>
      <c r="AL297" s="331">
        <f>+IF(SUM($F363:AK363)&gt;=AL428*$F$9,0,AL363)</f>
        <v>0</v>
      </c>
      <c r="AM297" s="331">
        <f>+IF(SUM($F363:AL363)&gt;=AM428*$F$9,0,AM363)</f>
        <v>0</v>
      </c>
      <c r="AN297" s="331">
        <f>+IF(SUM($F363:AM363)&gt;=AN428*$F$9,0,AN363)</f>
        <v>0</v>
      </c>
      <c r="AO297" s="331">
        <f>+IF(SUM($F363:AN363)&gt;=AO428*$F$9,0,AO363)</f>
        <v>0</v>
      </c>
      <c r="AP297" s="331">
        <f>+IF(SUM($F363:AO363)&gt;=AP428*$F$9,0,AP363)</f>
        <v>0</v>
      </c>
      <c r="AQ297" s="331">
        <f>+IF(SUM($F363:AP363)&gt;=AQ428*$F$9,0,AQ363)</f>
        <v>0</v>
      </c>
      <c r="AR297" s="331">
        <f>+IF(SUM($F363:AQ363)&gt;=AR428*$F$9,0,AR363)</f>
        <v>0</v>
      </c>
      <c r="AS297" s="331">
        <f>+IF(SUM($F363:AR363)&gt;=AS428*$F$9,0,AS363)</f>
        <v>0</v>
      </c>
      <c r="AT297" s="331">
        <f>+IF(SUM($F363:AS363)&gt;=AT428*$F$9,0,AT363)</f>
        <v>0</v>
      </c>
      <c r="AU297" s="331">
        <f>+IF(SUM($F363:AT363)&gt;=AU428*$F$9,0,AU363)</f>
        <v>0</v>
      </c>
      <c r="AV297" s="331">
        <f>+IF(SUM($F363:AU363)&gt;=AV428*$F$9,0,AV363)</f>
        <v>0</v>
      </c>
      <c r="AW297" s="331">
        <f>+IF(SUM($F363:AV363)&gt;=AW428*$F$9,0,AW363)</f>
        <v>0</v>
      </c>
      <c r="AX297" s="331">
        <f>+IF(SUM($F363:AW363)&gt;=AX428*$F$9,0,AX363)</f>
        <v>0</v>
      </c>
      <c r="AY297" s="331">
        <f>+IF(SUM($F363:AX363)&gt;=AY428*$F$9,0,AY363)</f>
        <v>0</v>
      </c>
      <c r="AZ297" s="331">
        <f>+IF(SUM($F363:AY363)&gt;=AZ428*$F$9,0,AZ363)</f>
        <v>0</v>
      </c>
      <c r="BA297" s="331">
        <f>+IF(SUM($F363:AZ363)&gt;=BA428*$F$9,0,BA363)</f>
        <v>0</v>
      </c>
      <c r="BB297" s="331">
        <f>+IF(SUM($F363:BA363)&gt;=BB428*$F$9,0,BB363)</f>
        <v>0</v>
      </c>
      <c r="BC297" s="331">
        <f>+IF(SUM($F363:BB363)&gt;=BC428*$F$9,0,BC363)</f>
        <v>0</v>
      </c>
      <c r="BD297" s="331">
        <f>+IF(SUM($F363:BC363)&gt;=BD428*$F$9,0,BD363)</f>
        <v>0</v>
      </c>
      <c r="BE297" s="331">
        <f>+IF(SUM($F363:BD363)&gt;=BE428*$F$9,0,BE363)</f>
        <v>0</v>
      </c>
      <c r="BF297" s="331">
        <f>+IF(SUM($F363:BE363)&gt;=BF428*$F$9,0,BF363)</f>
        <v>0</v>
      </c>
      <c r="BG297" s="331">
        <f>+IF(SUM($F363:BF363)&gt;=BG428*$F$9,0,BG363)</f>
        <v>0</v>
      </c>
      <c r="BH297" s="331">
        <f>+IF(SUM($F363:BG363)&gt;=BH428*$F$9,0,BH363)</f>
        <v>0</v>
      </c>
      <c r="BI297" s="331">
        <f>+IF(SUM($F363:BH363)&gt;=BI428*$F$9,0,BI363)</f>
        <v>0</v>
      </c>
      <c r="BJ297" s="331">
        <f>+IF(SUM($F363:BI363)&gt;=BJ428*$F$9,0,BJ363)</f>
        <v>0</v>
      </c>
      <c r="BK297" s="331">
        <f>+IF(SUM($F363:BJ363)&gt;=BK428*$F$9,0,BK363)</f>
        <v>0</v>
      </c>
      <c r="BL297" s="331">
        <f>+IF(SUM($F363:BK363)&gt;=BL428*$F$9,0,BL363)</f>
        <v>0</v>
      </c>
      <c r="BM297" s="331">
        <f>+IF(SUM($F363:BL363)&gt;=BM428*$F$9,0,BM363)</f>
        <v>0</v>
      </c>
    </row>
    <row r="298" spans="5:65" ht="15.75">
      <c r="E298" s="416">
        <f t="shared" si="193"/>
        <v>44210</v>
      </c>
      <c r="F298" s="331">
        <f t="shared" si="192"/>
        <v>0</v>
      </c>
      <c r="G298" s="331">
        <f>+IF(SUM($F364:F364)&gt;=G429*$F$9,0,G364)</f>
        <v>0</v>
      </c>
      <c r="H298" s="331">
        <f>+IF(SUM($F364:G364)&gt;=H429*$F$9,0,H364)</f>
        <v>0</v>
      </c>
      <c r="I298" s="331">
        <f>+IF(SUM($F364:H364)&gt;=I429*$F$9,0,I364)</f>
        <v>0</v>
      </c>
      <c r="J298" s="331">
        <f>+IF(SUM($F364:I364)&gt;=J429*$F$9,0,J364)</f>
        <v>0</v>
      </c>
      <c r="K298" s="331">
        <f>+IF(SUM($F364:J364)&gt;=K429*$F$9,0,K364)</f>
        <v>0</v>
      </c>
      <c r="L298" s="331">
        <f>+IF(SUM($F364:K364)&gt;=L429*$F$9,0,L364)</f>
        <v>0</v>
      </c>
      <c r="M298" s="331">
        <f>+IF(SUM($F364:L364)&gt;=M429*$F$9,0,M364)</f>
        <v>0</v>
      </c>
      <c r="N298" s="331">
        <f>+IF(SUM($F364:M364)&gt;=N429*$F$9,0,N364)</f>
        <v>0</v>
      </c>
      <c r="O298" s="331">
        <f>+IF(SUM($F364:N364)&gt;=O429*$F$9,0,O364)</f>
        <v>0</v>
      </c>
      <c r="P298" s="331">
        <f>+IF(SUM($F364:O364)&gt;=P429*$F$9,0,P364)</f>
        <v>0</v>
      </c>
      <c r="Q298" s="331">
        <f>+IF(SUM($F364:P364)&gt;=Q429*$F$9,0,Q364)</f>
        <v>0</v>
      </c>
      <c r="R298" s="331">
        <f>+IF(SUM($F364:Q364)&gt;=R429*$F$9,0,R364)</f>
        <v>0</v>
      </c>
      <c r="S298" s="331">
        <f>+IF(SUM($F364:R364)&gt;=S429*$F$9,0,S364)</f>
        <v>0</v>
      </c>
      <c r="T298" s="331">
        <f>+IF(SUM($F364:S364)&gt;=T429*$F$9,0,T364)</f>
        <v>0</v>
      </c>
      <c r="U298" s="331">
        <f>+IF(SUM($F364:T364)&gt;=U429*$F$9,0,U364)</f>
        <v>0</v>
      </c>
      <c r="V298" s="331">
        <f>+IF(SUM($F364:U364)&gt;=V429*$F$9,0,V364)</f>
        <v>0</v>
      </c>
      <c r="W298" s="331">
        <f>+IF(SUM($F364:V364)&gt;=W429*$F$9,0,W364)</f>
        <v>0</v>
      </c>
      <c r="X298" s="331">
        <f>+IF(SUM($F364:W364)&gt;=X429*$F$9,0,X364)</f>
        <v>0</v>
      </c>
      <c r="Y298" s="331">
        <f>+IF(SUM($F364:X364)&gt;=Y429*$F$9,0,Y364)</f>
        <v>0</v>
      </c>
      <c r="Z298" s="331">
        <f>+IF(SUM($F364:Y364)&gt;=Z429*$F$9,0,Z364)</f>
        <v>0</v>
      </c>
      <c r="AA298" s="331">
        <f>+IF(SUM($F364:Z364)&gt;=AA429*$F$9,0,AA364)</f>
        <v>0</v>
      </c>
      <c r="AB298" s="331">
        <f>+IF(SUM($F364:AA364)&gt;=AB429*$F$9,0,AB364)</f>
        <v>0</v>
      </c>
      <c r="AC298" s="331">
        <f>+IF(SUM($F364:AB364)&gt;=AC429*$F$9,0,AC364)</f>
        <v>0</v>
      </c>
      <c r="AD298" s="331">
        <f>+IF(SUM($F364:AC364)&gt;=AD429*$F$9,0,AD364)</f>
        <v>0</v>
      </c>
      <c r="AE298" s="331">
        <f>+IF(SUM($F364:AD364)&gt;=AE429*$F$9,0,AE364)</f>
        <v>0</v>
      </c>
      <c r="AF298" s="331">
        <f>+IF(SUM($F364:AE364)&gt;=AF429*$F$9,0,AF364)</f>
        <v>0</v>
      </c>
      <c r="AG298" s="331">
        <f>+IF(SUM($F364:AF364)&gt;=AG429*$F$9,0,AG364)</f>
        <v>0</v>
      </c>
      <c r="AH298" s="331">
        <f>+IF(SUM($F364:AG364)&gt;=AH429*$F$9,0,AH364)</f>
        <v>0</v>
      </c>
      <c r="AI298" s="331">
        <f>+IF(SUM($F364:AH364)&gt;=AI429*$F$9,0,AI364)</f>
        <v>0</v>
      </c>
      <c r="AJ298" s="331">
        <f>+IF(SUM($F364:AI364)&gt;=AJ429*$F$9,0,AJ364)</f>
        <v>0</v>
      </c>
      <c r="AK298" s="331">
        <f>+IF(SUM($F364:AJ364)&gt;=AK429*$F$9,0,AK364)</f>
        <v>0</v>
      </c>
      <c r="AL298" s="331">
        <f>+IF(SUM($F364:AK364)&gt;=AL429*$F$9,0,AL364)</f>
        <v>0</v>
      </c>
      <c r="AM298" s="331">
        <f>+IF(SUM($F364:AL364)&gt;=AM429*$F$9,0,AM364)</f>
        <v>0</v>
      </c>
      <c r="AN298" s="331">
        <f>+IF(SUM($F364:AM364)&gt;=AN429*$F$9,0,AN364)</f>
        <v>0</v>
      </c>
      <c r="AO298" s="331">
        <f>+IF(SUM($F364:AN364)&gt;=AO429*$F$9,0,AO364)</f>
        <v>0</v>
      </c>
      <c r="AP298" s="331">
        <f>+IF(SUM($F364:AO364)&gt;=AP429*$F$9,0,AP364)</f>
        <v>0</v>
      </c>
      <c r="AQ298" s="331">
        <f>+IF(SUM($F364:AP364)&gt;=AQ429*$F$9,0,AQ364)</f>
        <v>0</v>
      </c>
      <c r="AR298" s="331">
        <f>+IF(SUM($F364:AQ364)&gt;=AR429*$F$9,0,AR364)</f>
        <v>0</v>
      </c>
      <c r="AS298" s="331">
        <f>+IF(SUM($F364:AR364)&gt;=AS429*$F$9,0,AS364)</f>
        <v>0</v>
      </c>
      <c r="AT298" s="331">
        <f>+IF(SUM($F364:AS364)&gt;=AT429*$F$9,0,AT364)</f>
        <v>0</v>
      </c>
      <c r="AU298" s="331">
        <f>+IF(SUM($F364:AT364)&gt;=AU429*$F$9,0,AU364)</f>
        <v>0</v>
      </c>
      <c r="AV298" s="331">
        <f>+IF(SUM($F364:AU364)&gt;=AV429*$F$9,0,AV364)</f>
        <v>0</v>
      </c>
      <c r="AW298" s="331">
        <f>+IF(SUM($F364:AV364)&gt;=AW429*$F$9,0,AW364)</f>
        <v>0</v>
      </c>
      <c r="AX298" s="331">
        <f>+IF(SUM($F364:AW364)&gt;=AX429*$F$9,0,AX364)</f>
        <v>0</v>
      </c>
      <c r="AY298" s="331">
        <f>+IF(SUM($F364:AX364)&gt;=AY429*$F$9,0,AY364)</f>
        <v>0</v>
      </c>
      <c r="AZ298" s="331">
        <f>+IF(SUM($F364:AY364)&gt;=AZ429*$F$9,0,AZ364)</f>
        <v>0</v>
      </c>
      <c r="BA298" s="331">
        <f>+IF(SUM($F364:AZ364)&gt;=BA429*$F$9,0,BA364)</f>
        <v>0</v>
      </c>
      <c r="BB298" s="331">
        <f>+IF(SUM($F364:BA364)&gt;=BB429*$F$9,0,BB364)</f>
        <v>0</v>
      </c>
      <c r="BC298" s="331">
        <f>+IF(SUM($F364:BB364)&gt;=BC429*$F$9,0,BC364)</f>
        <v>0</v>
      </c>
      <c r="BD298" s="331">
        <f>+IF(SUM($F364:BC364)&gt;=BD429*$F$9,0,BD364)</f>
        <v>0</v>
      </c>
      <c r="BE298" s="331">
        <f>+IF(SUM($F364:BD364)&gt;=BE429*$F$9,0,BE364)</f>
        <v>0</v>
      </c>
      <c r="BF298" s="331">
        <f>+IF(SUM($F364:BE364)&gt;=BF429*$F$9,0,BF364)</f>
        <v>0</v>
      </c>
      <c r="BG298" s="331">
        <f>+IF(SUM($F364:BF364)&gt;=BG429*$F$9,0,BG364)</f>
        <v>0</v>
      </c>
      <c r="BH298" s="331">
        <f>+IF(SUM($F364:BG364)&gt;=BH429*$F$9,0,BH364)</f>
        <v>0</v>
      </c>
      <c r="BI298" s="331">
        <f>+IF(SUM($F364:BH364)&gt;=BI429*$F$9,0,BI364)</f>
        <v>0</v>
      </c>
      <c r="BJ298" s="331">
        <f>+IF(SUM($F364:BI364)&gt;=BJ429*$F$9,0,BJ364)</f>
        <v>0</v>
      </c>
      <c r="BK298" s="331">
        <f>+IF(SUM($F364:BJ364)&gt;=BK429*$F$9,0,BK364)</f>
        <v>0</v>
      </c>
      <c r="BL298" s="331">
        <f>+IF(SUM($F364:BK364)&gt;=BL429*$F$9,0,BL364)</f>
        <v>0</v>
      </c>
      <c r="BM298" s="331">
        <f>+IF(SUM($F364:BL364)&gt;=BM429*$F$9,0,BM364)</f>
        <v>0</v>
      </c>
    </row>
    <row r="299" spans="5:65" ht="15.75">
      <c r="E299" s="416">
        <f t="shared" si="193"/>
        <v>44241</v>
      </c>
      <c r="F299" s="331">
        <f t="shared" si="192"/>
        <v>0</v>
      </c>
      <c r="G299" s="331">
        <f>+IF(SUM($F365:F365)&gt;=G430*$F$9,0,G365)</f>
        <v>0</v>
      </c>
      <c r="H299" s="331">
        <f>+IF(SUM($F365:G365)&gt;=H430*$F$9,0,H365)</f>
        <v>0</v>
      </c>
      <c r="I299" s="331">
        <f>+IF(SUM($F365:H365)&gt;=I430*$F$9,0,I365)</f>
        <v>0</v>
      </c>
      <c r="J299" s="331">
        <f>+IF(SUM($F365:I365)&gt;=J430*$F$9,0,J365)</f>
        <v>0</v>
      </c>
      <c r="K299" s="331">
        <f>+IF(SUM($F365:J365)&gt;=K430*$F$9,0,K365)</f>
        <v>0</v>
      </c>
      <c r="L299" s="331">
        <f>+IF(SUM($F365:K365)&gt;=L430*$F$9,0,L365)</f>
        <v>0</v>
      </c>
      <c r="M299" s="331">
        <f>+IF(SUM($F365:L365)&gt;=M430*$F$9,0,M365)</f>
        <v>0</v>
      </c>
      <c r="N299" s="331">
        <f>+IF(SUM($F365:M365)&gt;=N430*$F$9,0,N365)</f>
        <v>0</v>
      </c>
      <c r="O299" s="331">
        <f>+IF(SUM($F365:N365)&gt;=O430*$F$9,0,O365)</f>
        <v>0</v>
      </c>
      <c r="P299" s="331">
        <f>+IF(SUM($F365:O365)&gt;=P430*$F$9,0,P365)</f>
        <v>0</v>
      </c>
      <c r="Q299" s="331">
        <f>+IF(SUM($F365:P365)&gt;=Q430*$F$9,0,Q365)</f>
        <v>0</v>
      </c>
      <c r="R299" s="331">
        <f>+IF(SUM($F365:Q365)&gt;=R430*$F$9,0,R365)</f>
        <v>0</v>
      </c>
      <c r="S299" s="331">
        <f>+IF(SUM($F365:R365)&gt;=S430*$F$9,0,S365)</f>
        <v>0</v>
      </c>
      <c r="T299" s="331">
        <f>+IF(SUM($F365:S365)&gt;=T430*$F$9,0,T365)</f>
        <v>0</v>
      </c>
      <c r="U299" s="331">
        <f>+IF(SUM($F365:T365)&gt;=U430*$F$9,0,U365)</f>
        <v>0</v>
      </c>
      <c r="V299" s="331">
        <f>+IF(SUM($F365:U365)&gt;=V430*$F$9,0,V365)</f>
        <v>0</v>
      </c>
      <c r="W299" s="331">
        <f>+IF(SUM($F365:V365)&gt;=W430*$F$9,0,W365)</f>
        <v>0</v>
      </c>
      <c r="X299" s="331">
        <f>+IF(SUM($F365:W365)&gt;=X430*$F$9,0,X365)</f>
        <v>0</v>
      </c>
      <c r="Y299" s="331">
        <f>+IF(SUM($F365:X365)&gt;=Y430*$F$9,0,Y365)</f>
        <v>0</v>
      </c>
      <c r="Z299" s="331">
        <f>+IF(SUM($F365:Y365)&gt;=Z430*$F$9,0,Z365)</f>
        <v>0</v>
      </c>
      <c r="AA299" s="331">
        <f>+IF(SUM($F365:Z365)&gt;=AA430*$F$9,0,AA365)</f>
        <v>0</v>
      </c>
      <c r="AB299" s="331">
        <f>+IF(SUM($F365:AA365)&gt;=AB430*$F$9,0,AB365)</f>
        <v>0</v>
      </c>
      <c r="AC299" s="331">
        <f>+IF(SUM($F365:AB365)&gt;=AC430*$F$9,0,AC365)</f>
        <v>0</v>
      </c>
      <c r="AD299" s="331">
        <f>+IF(SUM($F365:AC365)&gt;=AD430*$F$9,0,AD365)</f>
        <v>0</v>
      </c>
      <c r="AE299" s="331">
        <f>+IF(SUM($F365:AD365)&gt;=AE430*$F$9,0,AE365)</f>
        <v>0</v>
      </c>
      <c r="AF299" s="331">
        <f>+IF(SUM($F365:AE365)&gt;=AF430*$F$9,0,AF365)</f>
        <v>0</v>
      </c>
      <c r="AG299" s="331">
        <f>+IF(SUM($F365:AF365)&gt;=AG430*$F$9,0,AG365)</f>
        <v>0</v>
      </c>
      <c r="AH299" s="331">
        <f>+IF(SUM($F365:AG365)&gt;=AH430*$F$9,0,AH365)</f>
        <v>0</v>
      </c>
      <c r="AI299" s="331">
        <f>+IF(SUM($F365:AH365)&gt;=AI430*$F$9,0,AI365)</f>
        <v>0</v>
      </c>
      <c r="AJ299" s="331">
        <f>+IF(SUM($F365:AI365)&gt;=AJ430*$F$9,0,AJ365)</f>
        <v>0</v>
      </c>
      <c r="AK299" s="331">
        <f>+IF(SUM($F365:AJ365)&gt;=AK430*$F$9,0,AK365)</f>
        <v>0</v>
      </c>
      <c r="AL299" s="331">
        <f>+IF(SUM($F365:AK365)&gt;=AL430*$F$9,0,AL365)</f>
        <v>0</v>
      </c>
      <c r="AM299" s="331">
        <f>+IF(SUM($F365:AL365)&gt;=AM430*$F$9,0,AM365)</f>
        <v>0</v>
      </c>
      <c r="AN299" s="331">
        <f>+IF(SUM($F365:AM365)&gt;=AN430*$F$9,0,AN365)</f>
        <v>0</v>
      </c>
      <c r="AO299" s="331">
        <f>+IF(SUM($F365:AN365)&gt;=AO430*$F$9,0,AO365)</f>
        <v>0</v>
      </c>
      <c r="AP299" s="331">
        <f>+IF(SUM($F365:AO365)&gt;=AP430*$F$9,0,AP365)</f>
        <v>0</v>
      </c>
      <c r="AQ299" s="331">
        <f>+IF(SUM($F365:AP365)&gt;=AQ430*$F$9,0,AQ365)</f>
        <v>0</v>
      </c>
      <c r="AR299" s="331">
        <f>+IF(SUM($F365:AQ365)&gt;=AR430*$F$9,0,AR365)</f>
        <v>0</v>
      </c>
      <c r="AS299" s="331">
        <f>+IF(SUM($F365:AR365)&gt;=AS430*$F$9,0,AS365)</f>
        <v>0</v>
      </c>
      <c r="AT299" s="331">
        <f>+IF(SUM($F365:AS365)&gt;=AT430*$F$9,0,AT365)</f>
        <v>0</v>
      </c>
      <c r="AU299" s="331">
        <f>+IF(SUM($F365:AT365)&gt;=AU430*$F$9,0,AU365)</f>
        <v>0</v>
      </c>
      <c r="AV299" s="331">
        <f>+IF(SUM($F365:AU365)&gt;=AV430*$F$9,0,AV365)</f>
        <v>0</v>
      </c>
      <c r="AW299" s="331">
        <f>+IF(SUM($F365:AV365)&gt;=AW430*$F$9,0,AW365)</f>
        <v>0</v>
      </c>
      <c r="AX299" s="331">
        <f>+IF(SUM($F365:AW365)&gt;=AX430*$F$9,0,AX365)</f>
        <v>0</v>
      </c>
      <c r="AY299" s="331">
        <f>+IF(SUM($F365:AX365)&gt;=AY430*$F$9,0,AY365)</f>
        <v>0</v>
      </c>
      <c r="AZ299" s="331">
        <f>+IF(SUM($F365:AY365)&gt;=AZ430*$F$9,0,AZ365)</f>
        <v>0</v>
      </c>
      <c r="BA299" s="331">
        <f>+IF(SUM($F365:AZ365)&gt;=BA430*$F$9,0,BA365)</f>
        <v>0</v>
      </c>
      <c r="BB299" s="331">
        <f>+IF(SUM($F365:BA365)&gt;=BB430*$F$9,0,BB365)</f>
        <v>0</v>
      </c>
      <c r="BC299" s="331">
        <f>+IF(SUM($F365:BB365)&gt;=BC430*$F$9,0,BC365)</f>
        <v>0</v>
      </c>
      <c r="BD299" s="331">
        <f>+IF(SUM($F365:BC365)&gt;=BD430*$F$9,0,BD365)</f>
        <v>0</v>
      </c>
      <c r="BE299" s="331">
        <f>+IF(SUM($F365:BD365)&gt;=BE430*$F$9,0,BE365)</f>
        <v>0</v>
      </c>
      <c r="BF299" s="331">
        <f>+IF(SUM($F365:BE365)&gt;=BF430*$F$9,0,BF365)</f>
        <v>0</v>
      </c>
      <c r="BG299" s="331">
        <f>+IF(SUM($F365:BF365)&gt;=BG430*$F$9,0,BG365)</f>
        <v>0</v>
      </c>
      <c r="BH299" s="331">
        <f>+IF(SUM($F365:BG365)&gt;=BH430*$F$9,0,BH365)</f>
        <v>0</v>
      </c>
      <c r="BI299" s="331">
        <f>+IF(SUM($F365:BH365)&gt;=BI430*$F$9,0,BI365)</f>
        <v>0</v>
      </c>
      <c r="BJ299" s="331">
        <f>+IF(SUM($F365:BI365)&gt;=BJ430*$F$9,0,BJ365)</f>
        <v>0</v>
      </c>
      <c r="BK299" s="331">
        <f>+IF(SUM($F365:BJ365)&gt;=BK430*$F$9,0,BK365)</f>
        <v>0</v>
      </c>
      <c r="BL299" s="331">
        <f>+IF(SUM($F365:BK365)&gt;=BL430*$F$9,0,BL365)</f>
        <v>0</v>
      </c>
      <c r="BM299" s="331">
        <f>+IF(SUM($F365:BL365)&gt;=BM430*$F$9,0,BM365)</f>
        <v>0</v>
      </c>
    </row>
    <row r="300" spans="5:65" ht="15.75">
      <c r="E300" s="416">
        <f t="shared" si="193"/>
        <v>44272</v>
      </c>
      <c r="F300" s="331">
        <f t="shared" si="192"/>
        <v>0</v>
      </c>
      <c r="G300" s="331">
        <f>+IF(SUM($F366:F366)&gt;=G431*$F$9,0,G366)</f>
        <v>0</v>
      </c>
      <c r="H300" s="331">
        <f>+IF(SUM($F366:G366)&gt;=H431*$F$9,0,H366)</f>
        <v>0</v>
      </c>
      <c r="I300" s="331">
        <f>+IF(SUM($F366:H366)&gt;=I431*$F$9,0,I366)</f>
        <v>0</v>
      </c>
      <c r="J300" s="331">
        <f>+IF(SUM($F366:I366)&gt;=J431*$F$9,0,J366)</f>
        <v>0</v>
      </c>
      <c r="K300" s="331">
        <f>+IF(SUM($F366:J366)&gt;=K431*$F$9,0,K366)</f>
        <v>0</v>
      </c>
      <c r="L300" s="331">
        <f>+IF(SUM($F366:K366)&gt;=L431*$F$9,0,L366)</f>
        <v>0</v>
      </c>
      <c r="M300" s="331">
        <f>+IF(SUM($F366:L366)&gt;=M431*$F$9,0,M366)</f>
        <v>0</v>
      </c>
      <c r="N300" s="331">
        <f>+IF(SUM($F366:M366)&gt;=N431*$F$9,0,N366)</f>
        <v>0</v>
      </c>
      <c r="O300" s="331">
        <f>+IF(SUM($F366:N366)&gt;=O431*$F$9,0,O366)</f>
        <v>0</v>
      </c>
      <c r="P300" s="331">
        <f>+IF(SUM($F366:O366)&gt;=P431*$F$9,0,P366)</f>
        <v>0</v>
      </c>
      <c r="Q300" s="331">
        <f>+IF(SUM($F366:P366)&gt;=Q431*$F$9,0,Q366)</f>
        <v>0</v>
      </c>
      <c r="R300" s="331">
        <f>+IF(SUM($F366:Q366)&gt;=R431*$F$9,0,R366)</f>
        <v>0</v>
      </c>
      <c r="S300" s="331">
        <f>+IF(SUM($F366:R366)&gt;=S431*$F$9,0,S366)</f>
        <v>0</v>
      </c>
      <c r="T300" s="331">
        <f>+IF(SUM($F366:S366)&gt;=T431*$F$9,0,T366)</f>
        <v>0</v>
      </c>
      <c r="U300" s="331">
        <f>+IF(SUM($F366:T366)&gt;=U431*$F$9,0,U366)</f>
        <v>0</v>
      </c>
      <c r="V300" s="331">
        <f>+IF(SUM($F366:U366)&gt;=V431*$F$9,0,V366)</f>
        <v>0</v>
      </c>
      <c r="W300" s="331">
        <f>+IF(SUM($F366:V366)&gt;=W431*$F$9,0,W366)</f>
        <v>0</v>
      </c>
      <c r="X300" s="331">
        <f>+IF(SUM($F366:W366)&gt;=X431*$F$9,0,X366)</f>
        <v>0</v>
      </c>
      <c r="Y300" s="331">
        <f>+IF(SUM($F366:X366)&gt;=Y431*$F$9,0,Y366)</f>
        <v>0</v>
      </c>
      <c r="Z300" s="331">
        <f>+IF(SUM($F366:Y366)&gt;=Z431*$F$9,0,Z366)</f>
        <v>0</v>
      </c>
      <c r="AA300" s="331">
        <f>+IF(SUM($F366:Z366)&gt;=AA431*$F$9,0,AA366)</f>
        <v>0</v>
      </c>
      <c r="AB300" s="331">
        <f>+IF(SUM($F366:AA366)&gt;=AB431*$F$9,0,AB366)</f>
        <v>0</v>
      </c>
      <c r="AC300" s="331">
        <f>+IF(SUM($F366:AB366)&gt;=AC431*$F$9,0,AC366)</f>
        <v>0</v>
      </c>
      <c r="AD300" s="331">
        <f>+IF(SUM($F366:AC366)&gt;=AD431*$F$9,0,AD366)</f>
        <v>0</v>
      </c>
      <c r="AE300" s="331">
        <f>+IF(SUM($F366:AD366)&gt;=AE431*$F$9,0,AE366)</f>
        <v>0</v>
      </c>
      <c r="AF300" s="331">
        <f>+IF(SUM($F366:AE366)&gt;=AF431*$F$9,0,AF366)</f>
        <v>0</v>
      </c>
      <c r="AG300" s="331">
        <f>+IF(SUM($F366:AF366)&gt;=AG431*$F$9,0,AG366)</f>
        <v>0</v>
      </c>
      <c r="AH300" s="331">
        <f>+IF(SUM($F366:AG366)&gt;=AH431*$F$9,0,AH366)</f>
        <v>0</v>
      </c>
      <c r="AI300" s="331">
        <f>+IF(SUM($F366:AH366)&gt;=AI431*$F$9,0,AI366)</f>
        <v>0</v>
      </c>
      <c r="AJ300" s="331">
        <f>+IF(SUM($F366:AI366)&gt;=AJ431*$F$9,0,AJ366)</f>
        <v>0</v>
      </c>
      <c r="AK300" s="331">
        <f>+IF(SUM($F366:AJ366)&gt;=AK431*$F$9,0,AK366)</f>
        <v>0</v>
      </c>
      <c r="AL300" s="331">
        <f>+IF(SUM($F366:AK366)&gt;=AL431*$F$9,0,AL366)</f>
        <v>0</v>
      </c>
      <c r="AM300" s="331">
        <f>+IF(SUM($F366:AL366)&gt;=AM431*$F$9,0,AM366)</f>
        <v>0</v>
      </c>
      <c r="AN300" s="331">
        <f>+IF(SUM($F366:AM366)&gt;=AN431*$F$9,0,AN366)</f>
        <v>0</v>
      </c>
      <c r="AO300" s="331">
        <f>+IF(SUM($F366:AN366)&gt;=AO431*$F$9,0,AO366)</f>
        <v>0</v>
      </c>
      <c r="AP300" s="331">
        <f>+IF(SUM($F366:AO366)&gt;=AP431*$F$9,0,AP366)</f>
        <v>0</v>
      </c>
      <c r="AQ300" s="331">
        <f>+IF(SUM($F366:AP366)&gt;=AQ431*$F$9,0,AQ366)</f>
        <v>0</v>
      </c>
      <c r="AR300" s="331">
        <f>+IF(SUM($F366:AQ366)&gt;=AR431*$F$9,0,AR366)</f>
        <v>0</v>
      </c>
      <c r="AS300" s="331">
        <f>+IF(SUM($F366:AR366)&gt;=AS431*$F$9,0,AS366)</f>
        <v>0</v>
      </c>
      <c r="AT300" s="331">
        <f>+IF(SUM($F366:AS366)&gt;=AT431*$F$9,0,AT366)</f>
        <v>0</v>
      </c>
      <c r="AU300" s="331">
        <f>+IF(SUM($F366:AT366)&gt;=AU431*$F$9,0,AU366)</f>
        <v>0</v>
      </c>
      <c r="AV300" s="331">
        <f>+IF(SUM($F366:AU366)&gt;=AV431*$F$9,0,AV366)</f>
        <v>0</v>
      </c>
      <c r="AW300" s="331">
        <f>+IF(SUM($F366:AV366)&gt;=AW431*$F$9,0,AW366)</f>
        <v>0</v>
      </c>
      <c r="AX300" s="331">
        <f>+IF(SUM($F366:AW366)&gt;=AX431*$F$9,0,AX366)</f>
        <v>0</v>
      </c>
      <c r="AY300" s="331">
        <f>+IF(SUM($F366:AX366)&gt;=AY431*$F$9,0,AY366)</f>
        <v>0</v>
      </c>
      <c r="AZ300" s="331">
        <f>+IF(SUM($F366:AY366)&gt;=AZ431*$F$9,0,AZ366)</f>
        <v>0</v>
      </c>
      <c r="BA300" s="331">
        <f>+IF(SUM($F366:AZ366)&gt;=BA431*$F$9,0,BA366)</f>
        <v>0</v>
      </c>
      <c r="BB300" s="331">
        <f>+IF(SUM($F366:BA366)&gt;=BB431*$F$9,0,BB366)</f>
        <v>0</v>
      </c>
      <c r="BC300" s="331">
        <f>+IF(SUM($F366:BB366)&gt;=BC431*$F$9,0,BC366)</f>
        <v>0</v>
      </c>
      <c r="BD300" s="331">
        <f>+IF(SUM($F366:BC366)&gt;=BD431*$F$9,0,BD366)</f>
        <v>0</v>
      </c>
      <c r="BE300" s="331">
        <f>+IF(SUM($F366:BD366)&gt;=BE431*$F$9,0,BE366)</f>
        <v>0</v>
      </c>
      <c r="BF300" s="331">
        <f>+IF(SUM($F366:BE366)&gt;=BF431*$F$9,0,BF366)</f>
        <v>0</v>
      </c>
      <c r="BG300" s="331">
        <f>+IF(SUM($F366:BF366)&gt;=BG431*$F$9,0,BG366)</f>
        <v>0</v>
      </c>
      <c r="BH300" s="331">
        <f>+IF(SUM($F366:BG366)&gt;=BH431*$F$9,0,BH366)</f>
        <v>0</v>
      </c>
      <c r="BI300" s="331">
        <f>+IF(SUM($F366:BH366)&gt;=BI431*$F$9,0,BI366)</f>
        <v>0</v>
      </c>
      <c r="BJ300" s="331">
        <f>+IF(SUM($F366:BI366)&gt;=BJ431*$F$9,0,BJ366)</f>
        <v>0</v>
      </c>
      <c r="BK300" s="331">
        <f>+IF(SUM($F366:BJ366)&gt;=BK431*$F$9,0,BK366)</f>
        <v>0</v>
      </c>
      <c r="BL300" s="331">
        <f>+IF(SUM($F366:BK366)&gt;=BL431*$F$9,0,BL366)</f>
        <v>0</v>
      </c>
      <c r="BM300" s="331">
        <f>+IF(SUM($F366:BL366)&gt;=BM431*$F$9,0,BM366)</f>
        <v>0</v>
      </c>
    </row>
    <row r="301" spans="5:65" ht="15.75">
      <c r="E301" s="416">
        <f t="shared" si="193"/>
        <v>44303</v>
      </c>
      <c r="F301" s="331">
        <f t="shared" si="192"/>
        <v>0</v>
      </c>
      <c r="G301" s="331">
        <f>+IF(SUM($F367:F367)&gt;=G432*$F$9,0,G367)</f>
        <v>0</v>
      </c>
      <c r="H301" s="331">
        <f>+IF(SUM($F367:G367)&gt;=H432*$F$9,0,H367)</f>
        <v>0</v>
      </c>
      <c r="I301" s="331">
        <f>+IF(SUM($F367:H367)&gt;=I432*$F$9,0,I367)</f>
        <v>0</v>
      </c>
      <c r="J301" s="331">
        <f>+IF(SUM($F367:I367)&gt;=J432*$F$9,0,J367)</f>
        <v>0</v>
      </c>
      <c r="K301" s="331">
        <f>+IF(SUM($F367:J367)&gt;=K432*$F$9,0,K367)</f>
        <v>0</v>
      </c>
      <c r="L301" s="331">
        <f>+IF(SUM($F367:K367)&gt;=L432*$F$9,0,L367)</f>
        <v>0</v>
      </c>
      <c r="M301" s="331">
        <f>+IF(SUM($F367:L367)&gt;=M432*$F$9,0,M367)</f>
        <v>0</v>
      </c>
      <c r="N301" s="331">
        <f>+IF(SUM($F367:M367)&gt;=N432*$F$9,0,N367)</f>
        <v>0</v>
      </c>
      <c r="O301" s="331">
        <f>+IF(SUM($F367:N367)&gt;=O432*$F$9,0,O367)</f>
        <v>0</v>
      </c>
      <c r="P301" s="331">
        <f>+IF(SUM($F367:O367)&gt;=P432*$F$9,0,P367)</f>
        <v>0</v>
      </c>
      <c r="Q301" s="331">
        <f>+IF(SUM($F367:P367)&gt;=Q432*$F$9,0,Q367)</f>
        <v>0</v>
      </c>
      <c r="R301" s="331">
        <f>+IF(SUM($F367:Q367)&gt;=R432*$F$9,0,R367)</f>
        <v>0</v>
      </c>
      <c r="S301" s="331">
        <f>+IF(SUM($F367:R367)&gt;=S432*$F$9,0,S367)</f>
        <v>0</v>
      </c>
      <c r="T301" s="331">
        <f>+IF(SUM($F367:S367)&gt;=T432*$F$9,0,T367)</f>
        <v>0</v>
      </c>
      <c r="U301" s="331">
        <f>+IF(SUM($F367:T367)&gt;=U432*$F$9,0,U367)</f>
        <v>0</v>
      </c>
      <c r="V301" s="331">
        <f>+IF(SUM($F367:U367)&gt;=V432*$F$9,0,V367)</f>
        <v>0</v>
      </c>
      <c r="W301" s="331">
        <f>+IF(SUM($F367:V367)&gt;=W432*$F$9,0,W367)</f>
        <v>0</v>
      </c>
      <c r="X301" s="331">
        <f>+IF(SUM($F367:W367)&gt;=X432*$F$9,0,X367)</f>
        <v>0</v>
      </c>
      <c r="Y301" s="331">
        <f>+IF(SUM($F367:X367)&gt;=Y432*$F$9,0,Y367)</f>
        <v>0</v>
      </c>
      <c r="Z301" s="331">
        <f>+IF(SUM($F367:Y367)&gt;=Z432*$F$9,0,Z367)</f>
        <v>0</v>
      </c>
      <c r="AA301" s="331">
        <f>+IF(SUM($F367:Z367)&gt;=AA432*$F$9,0,AA367)</f>
        <v>0</v>
      </c>
      <c r="AB301" s="331">
        <f>+IF(SUM($F367:AA367)&gt;=AB432*$F$9,0,AB367)</f>
        <v>0</v>
      </c>
      <c r="AC301" s="331">
        <f>+IF(SUM($F367:AB367)&gt;=AC432*$F$9,0,AC367)</f>
        <v>0</v>
      </c>
      <c r="AD301" s="331">
        <f>+IF(SUM($F367:AC367)&gt;=AD432*$F$9,0,AD367)</f>
        <v>0</v>
      </c>
      <c r="AE301" s="331">
        <f>+IF(SUM($F367:AD367)&gt;=AE432*$F$9,0,AE367)</f>
        <v>0</v>
      </c>
      <c r="AF301" s="331">
        <f>+IF(SUM($F367:AE367)&gt;=AF432*$F$9,0,AF367)</f>
        <v>0</v>
      </c>
      <c r="AG301" s="331">
        <f>+IF(SUM($F367:AF367)&gt;=AG432*$F$9,0,AG367)</f>
        <v>0</v>
      </c>
      <c r="AH301" s="331">
        <f>+IF(SUM($F367:AG367)&gt;=AH432*$F$9,0,AH367)</f>
        <v>0</v>
      </c>
      <c r="AI301" s="331">
        <f>+IF(SUM($F367:AH367)&gt;=AI432*$F$9,0,AI367)</f>
        <v>0</v>
      </c>
      <c r="AJ301" s="331">
        <f>+IF(SUM($F367:AI367)&gt;=AJ432*$F$9,0,AJ367)</f>
        <v>0</v>
      </c>
      <c r="AK301" s="331">
        <f>+IF(SUM($F367:AJ367)&gt;=AK432*$F$9,0,AK367)</f>
        <v>0</v>
      </c>
      <c r="AL301" s="331">
        <f>+IF(SUM($F367:AK367)&gt;=AL432*$F$9,0,AL367)</f>
        <v>0</v>
      </c>
      <c r="AM301" s="331">
        <f>+IF(SUM($F367:AL367)&gt;=AM432*$F$9,0,AM367)</f>
        <v>0</v>
      </c>
      <c r="AN301" s="331">
        <f>+IF(SUM($F367:AM367)&gt;=AN432*$F$9,0,AN367)</f>
        <v>0</v>
      </c>
      <c r="AO301" s="331">
        <f>+IF(SUM($F367:AN367)&gt;=AO432*$F$9,0,AO367)</f>
        <v>0</v>
      </c>
      <c r="AP301" s="331">
        <f>+IF(SUM($F367:AO367)&gt;=AP432*$F$9,0,AP367)</f>
        <v>0</v>
      </c>
      <c r="AQ301" s="331">
        <f>+IF(SUM($F367:AP367)&gt;=AQ432*$F$9,0,AQ367)</f>
        <v>0</v>
      </c>
      <c r="AR301" s="331">
        <f>+IF(SUM($F367:AQ367)&gt;=AR432*$F$9,0,AR367)</f>
        <v>0</v>
      </c>
      <c r="AS301" s="331">
        <f>+IF(SUM($F367:AR367)&gt;=AS432*$F$9,0,AS367)</f>
        <v>0</v>
      </c>
      <c r="AT301" s="331">
        <f>+IF(SUM($F367:AS367)&gt;=AT432*$F$9,0,AT367)</f>
        <v>0</v>
      </c>
      <c r="AU301" s="331">
        <f>+IF(SUM($F367:AT367)&gt;=AU432*$F$9,0,AU367)</f>
        <v>0</v>
      </c>
      <c r="AV301" s="331">
        <f>+IF(SUM($F367:AU367)&gt;=AV432*$F$9,0,AV367)</f>
        <v>0</v>
      </c>
      <c r="AW301" s="331">
        <f>+IF(SUM($F367:AV367)&gt;=AW432*$F$9,0,AW367)</f>
        <v>0</v>
      </c>
      <c r="AX301" s="331">
        <f>+IF(SUM($F367:AW367)&gt;=AX432*$F$9,0,AX367)</f>
        <v>0</v>
      </c>
      <c r="AY301" s="331">
        <f>+IF(SUM($F367:AX367)&gt;=AY432*$F$9,0,AY367)</f>
        <v>0</v>
      </c>
      <c r="AZ301" s="331">
        <f>+IF(SUM($F367:AY367)&gt;=AZ432*$F$9,0,AZ367)</f>
        <v>0</v>
      </c>
      <c r="BA301" s="331">
        <f>+IF(SUM($F367:AZ367)&gt;=BA432*$F$9,0,BA367)</f>
        <v>0</v>
      </c>
      <c r="BB301" s="331">
        <f>+IF(SUM($F367:BA367)&gt;=BB432*$F$9,0,BB367)</f>
        <v>0</v>
      </c>
      <c r="BC301" s="331">
        <f>+IF(SUM($F367:BB367)&gt;=BC432*$F$9,0,BC367)</f>
        <v>0</v>
      </c>
      <c r="BD301" s="331">
        <f>+IF(SUM($F367:BC367)&gt;=BD432*$F$9,0,BD367)</f>
        <v>0</v>
      </c>
      <c r="BE301" s="331">
        <f>+IF(SUM($F367:BD367)&gt;=BE432*$F$9,0,BE367)</f>
        <v>0</v>
      </c>
      <c r="BF301" s="331">
        <f>+IF(SUM($F367:BE367)&gt;=BF432*$F$9,0,BF367)</f>
        <v>0</v>
      </c>
      <c r="BG301" s="331">
        <f>+IF(SUM($F367:BF367)&gt;=BG432*$F$9,0,BG367)</f>
        <v>0</v>
      </c>
      <c r="BH301" s="331">
        <f>+IF(SUM($F367:BG367)&gt;=BH432*$F$9,0,BH367)</f>
        <v>0</v>
      </c>
      <c r="BI301" s="331">
        <f>+IF(SUM($F367:BH367)&gt;=BI432*$F$9,0,BI367)</f>
        <v>0</v>
      </c>
      <c r="BJ301" s="331">
        <f>+IF(SUM($F367:BI367)&gt;=BJ432*$F$9,0,BJ367)</f>
        <v>0</v>
      </c>
      <c r="BK301" s="331">
        <f>+IF(SUM($F367:BJ367)&gt;=BK432*$F$9,0,BK367)</f>
        <v>0</v>
      </c>
      <c r="BL301" s="331">
        <f>+IF(SUM($F367:BK367)&gt;=BL432*$F$9,0,BL367)</f>
        <v>0</v>
      </c>
      <c r="BM301" s="331">
        <f>+IF(SUM($F367:BL367)&gt;=BM432*$F$9,0,BM367)</f>
        <v>0</v>
      </c>
    </row>
    <row r="302" spans="5:65" ht="15.75">
      <c r="E302" s="416">
        <f t="shared" si="193"/>
        <v>44334</v>
      </c>
      <c r="F302" s="331">
        <f t="shared" si="192"/>
        <v>0</v>
      </c>
      <c r="G302" s="331">
        <f>+IF(SUM($F368:F368)&gt;=G433*$F$9,0,G368)</f>
        <v>0</v>
      </c>
      <c r="H302" s="331">
        <f>+IF(SUM($F368:G368)&gt;=H433*$F$9,0,H368)</f>
        <v>0</v>
      </c>
      <c r="I302" s="331">
        <f>+IF(SUM($F368:H368)&gt;=I433*$F$9,0,I368)</f>
        <v>0</v>
      </c>
      <c r="J302" s="331">
        <f>+IF(SUM($F368:I368)&gt;=J433*$F$9,0,J368)</f>
        <v>0</v>
      </c>
      <c r="K302" s="331">
        <f>+IF(SUM($F368:J368)&gt;=K433*$F$9,0,K368)</f>
        <v>0</v>
      </c>
      <c r="L302" s="331">
        <f>+IF(SUM($F368:K368)&gt;=L433*$F$9,0,L368)</f>
        <v>0</v>
      </c>
      <c r="M302" s="331">
        <f>+IF(SUM($F368:L368)&gt;=M433*$F$9,0,M368)</f>
        <v>0</v>
      </c>
      <c r="N302" s="331">
        <f>+IF(SUM($F368:M368)&gt;=N433*$F$9,0,N368)</f>
        <v>0</v>
      </c>
      <c r="O302" s="331">
        <f>+IF(SUM($F368:N368)&gt;=O433*$F$9,0,O368)</f>
        <v>0</v>
      </c>
      <c r="P302" s="331">
        <f>+IF(SUM($F368:O368)&gt;=P433*$F$9,0,P368)</f>
        <v>0</v>
      </c>
      <c r="Q302" s="331">
        <f>+IF(SUM($F368:P368)&gt;=Q433*$F$9,0,Q368)</f>
        <v>0</v>
      </c>
      <c r="R302" s="331">
        <f>+IF(SUM($F368:Q368)&gt;=R433*$F$9,0,R368)</f>
        <v>0</v>
      </c>
      <c r="S302" s="331">
        <f>+IF(SUM($F368:R368)&gt;=S433*$F$9,0,S368)</f>
        <v>0</v>
      </c>
      <c r="T302" s="331">
        <f>+IF(SUM($F368:S368)&gt;=T433*$F$9,0,T368)</f>
        <v>0</v>
      </c>
      <c r="U302" s="331">
        <f>+IF(SUM($F368:T368)&gt;=U433*$F$9,0,U368)</f>
        <v>0</v>
      </c>
      <c r="V302" s="331">
        <f>+IF(SUM($F368:U368)&gt;=V433*$F$9,0,V368)</f>
        <v>0</v>
      </c>
      <c r="W302" s="331">
        <f>+IF(SUM($F368:V368)&gt;=W433*$F$9,0,W368)</f>
        <v>0</v>
      </c>
      <c r="X302" s="331">
        <f>+IF(SUM($F368:W368)&gt;=X433*$F$9,0,X368)</f>
        <v>0</v>
      </c>
      <c r="Y302" s="331">
        <f>+IF(SUM($F368:X368)&gt;=Y433*$F$9,0,Y368)</f>
        <v>0</v>
      </c>
      <c r="Z302" s="331">
        <f>+IF(SUM($F368:Y368)&gt;=Z433*$F$9,0,Z368)</f>
        <v>0</v>
      </c>
      <c r="AA302" s="331">
        <f>+IF(SUM($F368:Z368)&gt;=AA433*$F$9,0,AA368)</f>
        <v>0</v>
      </c>
      <c r="AB302" s="331">
        <f>+IF(SUM($F368:AA368)&gt;=AB433*$F$9,0,AB368)</f>
        <v>0</v>
      </c>
      <c r="AC302" s="331">
        <f>+IF(SUM($F368:AB368)&gt;=AC433*$F$9,0,AC368)</f>
        <v>0</v>
      </c>
      <c r="AD302" s="331">
        <f>+IF(SUM($F368:AC368)&gt;=AD433*$F$9,0,AD368)</f>
        <v>0</v>
      </c>
      <c r="AE302" s="331">
        <f>+IF(SUM($F368:AD368)&gt;=AE433*$F$9,0,AE368)</f>
        <v>0</v>
      </c>
      <c r="AF302" s="331">
        <f>+IF(SUM($F368:AE368)&gt;=AF433*$F$9,0,AF368)</f>
        <v>0</v>
      </c>
      <c r="AG302" s="331">
        <f>+IF(SUM($F368:AF368)&gt;=AG433*$F$9,0,AG368)</f>
        <v>0</v>
      </c>
      <c r="AH302" s="331">
        <f>+IF(SUM($F368:AG368)&gt;=AH433*$F$9,0,AH368)</f>
        <v>0</v>
      </c>
      <c r="AI302" s="331">
        <f>+IF(SUM($F368:AH368)&gt;=AI433*$F$9,0,AI368)</f>
        <v>0</v>
      </c>
      <c r="AJ302" s="331">
        <f>+IF(SUM($F368:AI368)&gt;=AJ433*$F$9,0,AJ368)</f>
        <v>0</v>
      </c>
      <c r="AK302" s="331">
        <f>+IF(SUM($F368:AJ368)&gt;=AK433*$F$9,0,AK368)</f>
        <v>0</v>
      </c>
      <c r="AL302" s="331">
        <f>+IF(SUM($F368:AK368)&gt;=AL433*$F$9,0,AL368)</f>
        <v>0</v>
      </c>
      <c r="AM302" s="331">
        <f>+IF(SUM($F368:AL368)&gt;=AM433*$F$9,0,AM368)</f>
        <v>0</v>
      </c>
      <c r="AN302" s="331">
        <f>+IF(SUM($F368:AM368)&gt;=AN433*$F$9,0,AN368)</f>
        <v>0</v>
      </c>
      <c r="AO302" s="331">
        <f>+IF(SUM($F368:AN368)&gt;=AO433*$F$9,0,AO368)</f>
        <v>0</v>
      </c>
      <c r="AP302" s="331">
        <f>+IF(SUM($F368:AO368)&gt;=AP433*$F$9,0,AP368)</f>
        <v>0</v>
      </c>
      <c r="AQ302" s="331">
        <f>+IF(SUM($F368:AP368)&gt;=AQ433*$F$9,0,AQ368)</f>
        <v>0</v>
      </c>
      <c r="AR302" s="331">
        <f>+IF(SUM($F368:AQ368)&gt;=AR433*$F$9,0,AR368)</f>
        <v>0</v>
      </c>
      <c r="AS302" s="331">
        <f>+IF(SUM($F368:AR368)&gt;=AS433*$F$9,0,AS368)</f>
        <v>0</v>
      </c>
      <c r="AT302" s="331">
        <f>+IF(SUM($F368:AS368)&gt;=AT433*$F$9,0,AT368)</f>
        <v>0</v>
      </c>
      <c r="AU302" s="331">
        <f>+IF(SUM($F368:AT368)&gt;=AU433*$F$9,0,AU368)</f>
        <v>0</v>
      </c>
      <c r="AV302" s="331">
        <f>+IF(SUM($F368:AU368)&gt;=AV433*$F$9,0,AV368)</f>
        <v>0</v>
      </c>
      <c r="AW302" s="331">
        <f>+IF(SUM($F368:AV368)&gt;=AW433*$F$9,0,AW368)</f>
        <v>0</v>
      </c>
      <c r="AX302" s="331">
        <f>+IF(SUM($F368:AW368)&gt;=AX433*$F$9,0,AX368)</f>
        <v>0</v>
      </c>
      <c r="AY302" s="331">
        <f>+IF(SUM($F368:AX368)&gt;=AY433*$F$9,0,AY368)</f>
        <v>0</v>
      </c>
      <c r="AZ302" s="331">
        <f>+IF(SUM($F368:AY368)&gt;=AZ433*$F$9,0,AZ368)</f>
        <v>0</v>
      </c>
      <c r="BA302" s="331">
        <f>+IF(SUM($F368:AZ368)&gt;=BA433*$F$9,0,BA368)</f>
        <v>0</v>
      </c>
      <c r="BB302" s="331">
        <f>+IF(SUM($F368:BA368)&gt;=BB433*$F$9,0,BB368)</f>
        <v>0</v>
      </c>
      <c r="BC302" s="331">
        <f>+IF(SUM($F368:BB368)&gt;=BC433*$F$9,0,BC368)</f>
        <v>0</v>
      </c>
      <c r="BD302" s="331">
        <f>+IF(SUM($F368:BC368)&gt;=BD433*$F$9,0,BD368)</f>
        <v>0</v>
      </c>
      <c r="BE302" s="331">
        <f>+IF(SUM($F368:BD368)&gt;=BE433*$F$9,0,BE368)</f>
        <v>0</v>
      </c>
      <c r="BF302" s="331">
        <f>+IF(SUM($F368:BE368)&gt;=BF433*$F$9,0,BF368)</f>
        <v>0</v>
      </c>
      <c r="BG302" s="331">
        <f>+IF(SUM($F368:BF368)&gt;=BG433*$F$9,0,BG368)</f>
        <v>0</v>
      </c>
      <c r="BH302" s="331">
        <f>+IF(SUM($F368:BG368)&gt;=BH433*$F$9,0,BH368)</f>
        <v>0</v>
      </c>
      <c r="BI302" s="331">
        <f>+IF(SUM($F368:BH368)&gt;=BI433*$F$9,0,BI368)</f>
        <v>0</v>
      </c>
      <c r="BJ302" s="331">
        <f>+IF(SUM($F368:BI368)&gt;=BJ433*$F$9,0,BJ368)</f>
        <v>0</v>
      </c>
      <c r="BK302" s="331">
        <f>+IF(SUM($F368:BJ368)&gt;=BK433*$F$9,0,BK368)</f>
        <v>0</v>
      </c>
      <c r="BL302" s="331">
        <f>+IF(SUM($F368:BK368)&gt;=BL433*$F$9,0,BL368)</f>
        <v>0</v>
      </c>
      <c r="BM302" s="331">
        <f>+IF(SUM($F368:BL368)&gt;=BM433*$F$9,0,BM368)</f>
        <v>0</v>
      </c>
    </row>
    <row r="303" spans="5:65" ht="15.75">
      <c r="E303" s="416">
        <f t="shared" si="193"/>
        <v>44365</v>
      </c>
      <c r="F303" s="331">
        <f t="shared" si="192"/>
        <v>0</v>
      </c>
      <c r="G303" s="331">
        <f>+IF(SUM($F369:F369)&gt;=G434*$F$9,0,G369)</f>
        <v>0</v>
      </c>
      <c r="H303" s="331">
        <f>+IF(SUM($F369:G369)&gt;=H434*$F$9,0,H369)</f>
        <v>0</v>
      </c>
      <c r="I303" s="331">
        <f>+IF(SUM($F369:H369)&gt;=I434*$F$9,0,I369)</f>
        <v>0</v>
      </c>
      <c r="J303" s="331">
        <f>+IF(SUM($F369:I369)&gt;=J434*$F$9,0,J369)</f>
        <v>0</v>
      </c>
      <c r="K303" s="331">
        <f>+IF(SUM($F369:J369)&gt;=K434*$F$9,0,K369)</f>
        <v>0</v>
      </c>
      <c r="L303" s="331">
        <f>+IF(SUM($F369:K369)&gt;=L434*$F$9,0,L369)</f>
        <v>0</v>
      </c>
      <c r="M303" s="331">
        <f>+IF(SUM($F369:L369)&gt;=M434*$F$9,0,M369)</f>
        <v>0</v>
      </c>
      <c r="N303" s="331">
        <f>+IF(SUM($F369:M369)&gt;=N434*$F$9,0,N369)</f>
        <v>0</v>
      </c>
      <c r="O303" s="331">
        <f>+IF(SUM($F369:N369)&gt;=O434*$F$9,0,O369)</f>
        <v>0</v>
      </c>
      <c r="P303" s="331">
        <f>+IF(SUM($F369:O369)&gt;=P434*$F$9,0,P369)</f>
        <v>0</v>
      </c>
      <c r="Q303" s="331">
        <f>+IF(SUM($F369:P369)&gt;=Q434*$F$9,0,Q369)</f>
        <v>0</v>
      </c>
      <c r="R303" s="331">
        <f>+IF(SUM($F369:Q369)&gt;=R434*$F$9,0,R369)</f>
        <v>0</v>
      </c>
      <c r="S303" s="331">
        <f>+IF(SUM($F369:R369)&gt;=S434*$F$9,0,S369)</f>
        <v>0</v>
      </c>
      <c r="T303" s="331">
        <f>+IF(SUM($F369:S369)&gt;=T434*$F$9,0,T369)</f>
        <v>0</v>
      </c>
      <c r="U303" s="331">
        <f>+IF(SUM($F369:T369)&gt;=U434*$F$9,0,U369)</f>
        <v>0</v>
      </c>
      <c r="V303" s="331">
        <f>+IF(SUM($F369:U369)&gt;=V434*$F$9,0,V369)</f>
        <v>0</v>
      </c>
      <c r="W303" s="331">
        <f>+IF(SUM($F369:V369)&gt;=W434*$F$9,0,W369)</f>
        <v>0</v>
      </c>
      <c r="X303" s="331">
        <f>+IF(SUM($F369:W369)&gt;=X434*$F$9,0,X369)</f>
        <v>0</v>
      </c>
      <c r="Y303" s="331">
        <f>+IF(SUM($F369:X369)&gt;=Y434*$F$9,0,Y369)</f>
        <v>0</v>
      </c>
      <c r="Z303" s="331">
        <f>+IF(SUM($F369:Y369)&gt;=Z434*$F$9,0,Z369)</f>
        <v>0</v>
      </c>
      <c r="AA303" s="331">
        <f>+IF(SUM($F369:Z369)&gt;=AA434*$F$9,0,AA369)</f>
        <v>0</v>
      </c>
      <c r="AB303" s="331">
        <f>+IF(SUM($F369:AA369)&gt;=AB434*$F$9,0,AB369)</f>
        <v>0</v>
      </c>
      <c r="AC303" s="331">
        <f>+IF(SUM($F369:AB369)&gt;=AC434*$F$9,0,AC369)</f>
        <v>0</v>
      </c>
      <c r="AD303" s="331">
        <f>+IF(SUM($F369:AC369)&gt;=AD434*$F$9,0,AD369)</f>
        <v>0</v>
      </c>
      <c r="AE303" s="331">
        <f>+IF(SUM($F369:AD369)&gt;=AE434*$F$9,0,AE369)</f>
        <v>0</v>
      </c>
      <c r="AF303" s="331">
        <f>+IF(SUM($F369:AE369)&gt;=AF434*$F$9,0,AF369)</f>
        <v>0</v>
      </c>
      <c r="AG303" s="331">
        <f>+IF(SUM($F369:AF369)&gt;=AG434*$F$9,0,AG369)</f>
        <v>0</v>
      </c>
      <c r="AH303" s="331">
        <f>+IF(SUM($F369:AG369)&gt;=AH434*$F$9,0,AH369)</f>
        <v>0</v>
      </c>
      <c r="AI303" s="331">
        <f>+IF(SUM($F369:AH369)&gt;=AI434*$F$9,0,AI369)</f>
        <v>0</v>
      </c>
      <c r="AJ303" s="331">
        <f>+IF(SUM($F369:AI369)&gt;=AJ434*$F$9,0,AJ369)</f>
        <v>0</v>
      </c>
      <c r="AK303" s="331">
        <f>+IF(SUM($F369:AJ369)&gt;=AK434*$F$9,0,AK369)</f>
        <v>0</v>
      </c>
      <c r="AL303" s="331">
        <f>+IF(SUM($F369:AK369)&gt;=AL434*$F$9,0,AL369)</f>
        <v>0</v>
      </c>
      <c r="AM303" s="331">
        <f>+IF(SUM($F369:AL369)&gt;=AM434*$F$9,0,AM369)</f>
        <v>0</v>
      </c>
      <c r="AN303" s="331">
        <f>+IF(SUM($F369:AM369)&gt;=AN434*$F$9,0,AN369)</f>
        <v>0</v>
      </c>
      <c r="AO303" s="331">
        <f>+IF(SUM($F369:AN369)&gt;=AO434*$F$9,0,AO369)</f>
        <v>0</v>
      </c>
      <c r="AP303" s="331">
        <f>+IF(SUM($F369:AO369)&gt;=AP434*$F$9,0,AP369)</f>
        <v>0</v>
      </c>
      <c r="AQ303" s="331">
        <f>+IF(SUM($F369:AP369)&gt;=AQ434*$F$9,0,AQ369)</f>
        <v>0</v>
      </c>
      <c r="AR303" s="331">
        <f>+IF(SUM($F369:AQ369)&gt;=AR434*$F$9,0,AR369)</f>
        <v>0</v>
      </c>
      <c r="AS303" s="331">
        <f>+IF(SUM($F369:AR369)&gt;=AS434*$F$9,0,AS369)</f>
        <v>0</v>
      </c>
      <c r="AT303" s="331">
        <f>+IF(SUM($F369:AS369)&gt;=AT434*$F$9,0,AT369)</f>
        <v>0</v>
      </c>
      <c r="AU303" s="331">
        <f>+IF(SUM($F369:AT369)&gt;=AU434*$F$9,0,AU369)</f>
        <v>0</v>
      </c>
      <c r="AV303" s="331">
        <f>+IF(SUM($F369:AU369)&gt;=AV434*$F$9,0,AV369)</f>
        <v>0</v>
      </c>
      <c r="AW303" s="331">
        <f>+IF(SUM($F369:AV369)&gt;=AW434*$F$9,0,AW369)</f>
        <v>0</v>
      </c>
      <c r="AX303" s="331">
        <f>+IF(SUM($F369:AW369)&gt;=AX434*$F$9,0,AX369)</f>
        <v>0</v>
      </c>
      <c r="AY303" s="331">
        <f>+IF(SUM($F369:AX369)&gt;=AY434*$F$9,0,AY369)</f>
        <v>0</v>
      </c>
      <c r="AZ303" s="331">
        <f>+IF(SUM($F369:AY369)&gt;=AZ434*$F$9,0,AZ369)</f>
        <v>0</v>
      </c>
      <c r="BA303" s="331">
        <f>+IF(SUM($F369:AZ369)&gt;=BA434*$F$9,0,BA369)</f>
        <v>0</v>
      </c>
      <c r="BB303" s="331">
        <f>+IF(SUM($F369:BA369)&gt;=BB434*$F$9,0,BB369)</f>
        <v>0</v>
      </c>
      <c r="BC303" s="331">
        <f>+IF(SUM($F369:BB369)&gt;=BC434*$F$9,0,BC369)</f>
        <v>0</v>
      </c>
      <c r="BD303" s="331">
        <f>+IF(SUM($F369:BC369)&gt;=BD434*$F$9,0,BD369)</f>
        <v>0</v>
      </c>
      <c r="BE303" s="331">
        <f>+IF(SUM($F369:BD369)&gt;=BE434*$F$9,0,BE369)</f>
        <v>0</v>
      </c>
      <c r="BF303" s="331">
        <f>+IF(SUM($F369:BE369)&gt;=BF434*$F$9,0,BF369)</f>
        <v>0</v>
      </c>
      <c r="BG303" s="331">
        <f>+IF(SUM($F369:BF369)&gt;=BG434*$F$9,0,BG369)</f>
        <v>0</v>
      </c>
      <c r="BH303" s="331">
        <f>+IF(SUM($F369:BG369)&gt;=BH434*$F$9,0,BH369)</f>
        <v>0</v>
      </c>
      <c r="BI303" s="331">
        <f>+IF(SUM($F369:BH369)&gt;=BI434*$F$9,0,BI369)</f>
        <v>0</v>
      </c>
      <c r="BJ303" s="331">
        <f>+IF(SUM($F369:BI369)&gt;=BJ434*$F$9,0,BJ369)</f>
        <v>0</v>
      </c>
      <c r="BK303" s="331">
        <f>+IF(SUM($F369:BJ369)&gt;=BK434*$F$9,0,BK369)</f>
        <v>0</v>
      </c>
      <c r="BL303" s="331">
        <f>+IF(SUM($F369:BK369)&gt;=BL434*$F$9,0,BL369)</f>
        <v>0</v>
      </c>
      <c r="BM303" s="331">
        <f>+IF(SUM($F369:BL369)&gt;=BM434*$F$9,0,BM369)</f>
        <v>0</v>
      </c>
    </row>
    <row r="304" spans="5:65" ht="15.75">
      <c r="E304" s="416">
        <f t="shared" si="193"/>
        <v>44396</v>
      </c>
      <c r="F304" s="331">
        <f t="shared" si="192"/>
        <v>0</v>
      </c>
      <c r="G304" s="331">
        <f>+IF(SUM($F370:F370)&gt;=G435*$F$9,0,G370)</f>
        <v>0</v>
      </c>
      <c r="H304" s="331">
        <f>+IF(SUM($F370:G370)&gt;=H435*$F$9,0,H370)</f>
        <v>0</v>
      </c>
      <c r="I304" s="331">
        <f>+IF(SUM($F370:H370)&gt;=I435*$F$9,0,I370)</f>
        <v>0</v>
      </c>
      <c r="J304" s="331">
        <f>+IF(SUM($F370:I370)&gt;=J435*$F$9,0,J370)</f>
        <v>0</v>
      </c>
      <c r="K304" s="331">
        <f>+IF(SUM($F370:J370)&gt;=K435*$F$9,0,K370)</f>
        <v>0</v>
      </c>
      <c r="L304" s="331">
        <f>+IF(SUM($F370:K370)&gt;=L435*$F$9,0,L370)</f>
        <v>0</v>
      </c>
      <c r="M304" s="331">
        <f>+IF(SUM($F370:L370)&gt;=M435*$F$9,0,M370)</f>
        <v>0</v>
      </c>
      <c r="N304" s="331">
        <f>+IF(SUM($F370:M370)&gt;=N435*$F$9,0,N370)</f>
        <v>0</v>
      </c>
      <c r="O304" s="331">
        <f>+IF(SUM($F370:N370)&gt;=O435*$F$9,0,O370)</f>
        <v>0</v>
      </c>
      <c r="P304" s="331">
        <f>+IF(SUM($F370:O370)&gt;=P435*$F$9,0,P370)</f>
        <v>0</v>
      </c>
      <c r="Q304" s="331">
        <f>+IF(SUM($F370:P370)&gt;=Q435*$F$9,0,Q370)</f>
        <v>0</v>
      </c>
      <c r="R304" s="331">
        <f>+IF(SUM($F370:Q370)&gt;=R435*$F$9,0,R370)</f>
        <v>0</v>
      </c>
      <c r="S304" s="331">
        <f>+IF(SUM($F370:R370)&gt;=S435*$F$9,0,S370)</f>
        <v>0</v>
      </c>
      <c r="T304" s="331">
        <f>+IF(SUM($F370:S370)&gt;=T435*$F$9,0,T370)</f>
        <v>0</v>
      </c>
      <c r="U304" s="331">
        <f>+IF(SUM($F370:T370)&gt;=U435*$F$9,0,U370)</f>
        <v>0</v>
      </c>
      <c r="V304" s="331">
        <f>+IF(SUM($F370:U370)&gt;=V435*$F$9,0,V370)</f>
        <v>0</v>
      </c>
      <c r="W304" s="331">
        <f>+IF(SUM($F370:V370)&gt;=W435*$F$9,0,W370)</f>
        <v>0</v>
      </c>
      <c r="X304" s="331">
        <f>+IF(SUM($F370:W370)&gt;=X435*$F$9,0,X370)</f>
        <v>0</v>
      </c>
      <c r="Y304" s="331">
        <f>+IF(SUM($F370:X370)&gt;=Y435*$F$9,0,Y370)</f>
        <v>0</v>
      </c>
      <c r="Z304" s="331">
        <f>+IF(SUM($F370:Y370)&gt;=Z435*$F$9,0,Z370)</f>
        <v>0</v>
      </c>
      <c r="AA304" s="331">
        <f>+IF(SUM($F370:Z370)&gt;=AA435*$F$9,0,AA370)</f>
        <v>0</v>
      </c>
      <c r="AB304" s="331">
        <f>+IF(SUM($F370:AA370)&gt;=AB435*$F$9,0,AB370)</f>
        <v>0</v>
      </c>
      <c r="AC304" s="331">
        <f>+IF(SUM($F370:AB370)&gt;=AC435*$F$9,0,AC370)</f>
        <v>0</v>
      </c>
      <c r="AD304" s="331">
        <f>+IF(SUM($F370:AC370)&gt;=AD435*$F$9,0,AD370)</f>
        <v>0</v>
      </c>
      <c r="AE304" s="331">
        <f>+IF(SUM($F370:AD370)&gt;=AE435*$F$9,0,AE370)</f>
        <v>0</v>
      </c>
      <c r="AF304" s="331">
        <f>+IF(SUM($F370:AE370)&gt;=AF435*$F$9,0,AF370)</f>
        <v>0</v>
      </c>
      <c r="AG304" s="331">
        <f>+IF(SUM($F370:AF370)&gt;=AG435*$F$9,0,AG370)</f>
        <v>0</v>
      </c>
      <c r="AH304" s="331">
        <f>+IF(SUM($F370:AG370)&gt;=AH435*$F$9,0,AH370)</f>
        <v>0</v>
      </c>
      <c r="AI304" s="331">
        <f>+IF(SUM($F370:AH370)&gt;=AI435*$F$9,0,AI370)</f>
        <v>0</v>
      </c>
      <c r="AJ304" s="331">
        <f>+IF(SUM($F370:AI370)&gt;=AJ435*$F$9,0,AJ370)</f>
        <v>0</v>
      </c>
      <c r="AK304" s="331">
        <f>+IF(SUM($F370:AJ370)&gt;=AK435*$F$9,0,AK370)</f>
        <v>0</v>
      </c>
      <c r="AL304" s="331">
        <f>+IF(SUM($F370:AK370)&gt;=AL435*$F$9,0,AL370)</f>
        <v>0</v>
      </c>
      <c r="AM304" s="331">
        <f>+IF(SUM($F370:AL370)&gt;=AM435*$F$9,0,AM370)</f>
        <v>0</v>
      </c>
      <c r="AN304" s="331">
        <f>+IF(SUM($F370:AM370)&gt;=AN435*$F$9,0,AN370)</f>
        <v>0</v>
      </c>
      <c r="AO304" s="331">
        <f>+IF(SUM($F370:AN370)&gt;=AO435*$F$9,0,AO370)</f>
        <v>0</v>
      </c>
      <c r="AP304" s="331">
        <f>+IF(SUM($F370:AO370)&gt;=AP435*$F$9,0,AP370)</f>
        <v>0</v>
      </c>
      <c r="AQ304" s="331">
        <f>+IF(SUM($F370:AP370)&gt;=AQ435*$F$9,0,AQ370)</f>
        <v>0</v>
      </c>
      <c r="AR304" s="331">
        <f>+IF(SUM($F370:AQ370)&gt;=AR435*$F$9,0,AR370)</f>
        <v>0</v>
      </c>
      <c r="AS304" s="331">
        <f>+IF(SUM($F370:AR370)&gt;=AS435*$F$9,0,AS370)</f>
        <v>0</v>
      </c>
      <c r="AT304" s="331">
        <f>+IF(SUM($F370:AS370)&gt;=AT435*$F$9,0,AT370)</f>
        <v>0</v>
      </c>
      <c r="AU304" s="331">
        <f>+IF(SUM($F370:AT370)&gt;=AU435*$F$9,0,AU370)</f>
        <v>0</v>
      </c>
      <c r="AV304" s="331">
        <f>+IF(SUM($F370:AU370)&gt;=AV435*$F$9,0,AV370)</f>
        <v>0</v>
      </c>
      <c r="AW304" s="331">
        <f>+IF(SUM($F370:AV370)&gt;=AW435*$F$9,0,AW370)</f>
        <v>0</v>
      </c>
      <c r="AX304" s="331">
        <f>+IF(SUM($F370:AW370)&gt;=AX435*$F$9,0,AX370)</f>
        <v>0</v>
      </c>
      <c r="AY304" s="331">
        <f>+IF(SUM($F370:AX370)&gt;=AY435*$F$9,0,AY370)</f>
        <v>0</v>
      </c>
      <c r="AZ304" s="331">
        <f>+IF(SUM($F370:AY370)&gt;=AZ435*$F$9,0,AZ370)</f>
        <v>0</v>
      </c>
      <c r="BA304" s="331">
        <f>+IF(SUM($F370:AZ370)&gt;=BA435*$F$9,0,BA370)</f>
        <v>0</v>
      </c>
      <c r="BB304" s="331">
        <f>+IF(SUM($F370:BA370)&gt;=BB435*$F$9,0,BB370)</f>
        <v>0</v>
      </c>
      <c r="BC304" s="331">
        <f>+IF(SUM($F370:BB370)&gt;=BC435*$F$9,0,BC370)</f>
        <v>0</v>
      </c>
      <c r="BD304" s="331">
        <f>+IF(SUM($F370:BC370)&gt;=BD435*$F$9,0,BD370)</f>
        <v>0</v>
      </c>
      <c r="BE304" s="331">
        <f>+IF(SUM($F370:BD370)&gt;=BE435*$F$9,0,BE370)</f>
        <v>0</v>
      </c>
      <c r="BF304" s="331">
        <f>+IF(SUM($F370:BE370)&gt;=BF435*$F$9,0,BF370)</f>
        <v>0</v>
      </c>
      <c r="BG304" s="331">
        <f>+IF(SUM($F370:BF370)&gt;=BG435*$F$9,0,BG370)</f>
        <v>0</v>
      </c>
      <c r="BH304" s="331">
        <f>+IF(SUM($F370:BG370)&gt;=BH435*$F$9,0,BH370)</f>
        <v>0</v>
      </c>
      <c r="BI304" s="331">
        <f>+IF(SUM($F370:BH370)&gt;=BI435*$F$9,0,BI370)</f>
        <v>0</v>
      </c>
      <c r="BJ304" s="331">
        <f>+IF(SUM($F370:BI370)&gt;=BJ435*$F$9,0,BJ370)</f>
        <v>0</v>
      </c>
      <c r="BK304" s="331">
        <f>+IF(SUM($F370:BJ370)&gt;=BK435*$F$9,0,BK370)</f>
        <v>0</v>
      </c>
      <c r="BL304" s="331">
        <f>+IF(SUM($F370:BK370)&gt;=BL435*$F$9,0,BL370)</f>
        <v>0</v>
      </c>
      <c r="BM304" s="331">
        <f>+IF(SUM($F370:BL370)&gt;=BM435*$F$9,0,BM370)</f>
        <v>0</v>
      </c>
    </row>
    <row r="305" spans="5:65" ht="15.75">
      <c r="E305" s="416">
        <f t="shared" si="193"/>
        <v>44427</v>
      </c>
      <c r="F305" s="331">
        <f t="shared" si="192"/>
        <v>0</v>
      </c>
      <c r="G305" s="331">
        <f>+IF(SUM($F371:F371)&gt;=G436*$F$9,0,G371)</f>
        <v>0</v>
      </c>
      <c r="H305" s="331">
        <f>+IF(SUM($F371:G371)&gt;=H436*$F$9,0,H371)</f>
        <v>0</v>
      </c>
      <c r="I305" s="331">
        <f>+IF(SUM($F371:H371)&gt;=I436*$F$9,0,I371)</f>
        <v>0</v>
      </c>
      <c r="J305" s="331">
        <f>+IF(SUM($F371:I371)&gt;=J436*$F$9,0,J371)</f>
        <v>0</v>
      </c>
      <c r="K305" s="331">
        <f>+IF(SUM($F371:J371)&gt;=K436*$F$9,0,K371)</f>
        <v>0</v>
      </c>
      <c r="L305" s="331">
        <f>+IF(SUM($F371:K371)&gt;=L436*$F$9,0,L371)</f>
        <v>0</v>
      </c>
      <c r="M305" s="331">
        <f>+IF(SUM($F371:L371)&gt;=M436*$F$9,0,M371)</f>
        <v>0</v>
      </c>
      <c r="N305" s="331">
        <f>+IF(SUM($F371:M371)&gt;=N436*$F$9,0,N371)</f>
        <v>0</v>
      </c>
      <c r="O305" s="331">
        <f>+IF(SUM($F371:N371)&gt;=O436*$F$9,0,O371)</f>
        <v>0</v>
      </c>
      <c r="P305" s="331">
        <f>+IF(SUM($F371:O371)&gt;=P436*$F$9,0,P371)</f>
        <v>0</v>
      </c>
      <c r="Q305" s="331">
        <f>+IF(SUM($F371:P371)&gt;=Q436*$F$9,0,Q371)</f>
        <v>0</v>
      </c>
      <c r="R305" s="331">
        <f>+IF(SUM($F371:Q371)&gt;=R436*$F$9,0,R371)</f>
        <v>0</v>
      </c>
      <c r="S305" s="331">
        <f>+IF(SUM($F371:R371)&gt;=S436*$F$9,0,S371)</f>
        <v>0</v>
      </c>
      <c r="T305" s="331">
        <f>+IF(SUM($F371:S371)&gt;=T436*$F$9,0,T371)</f>
        <v>0</v>
      </c>
      <c r="U305" s="331">
        <f>+IF(SUM($F371:T371)&gt;=U436*$F$9,0,U371)</f>
        <v>0</v>
      </c>
      <c r="V305" s="331">
        <f>+IF(SUM($F371:U371)&gt;=V436*$F$9,0,V371)</f>
        <v>0</v>
      </c>
      <c r="W305" s="331">
        <f>+IF(SUM($F371:V371)&gt;=W436*$F$9,0,W371)</f>
        <v>0</v>
      </c>
      <c r="X305" s="331">
        <f>+IF(SUM($F371:W371)&gt;=X436*$F$9,0,X371)</f>
        <v>0</v>
      </c>
      <c r="Y305" s="331">
        <f>+IF(SUM($F371:X371)&gt;=Y436*$F$9,0,Y371)</f>
        <v>0</v>
      </c>
      <c r="Z305" s="331">
        <f>+IF(SUM($F371:Y371)&gt;=Z436*$F$9,0,Z371)</f>
        <v>0</v>
      </c>
      <c r="AA305" s="331">
        <f>+IF(SUM($F371:Z371)&gt;=AA436*$F$9,0,AA371)</f>
        <v>0</v>
      </c>
      <c r="AB305" s="331">
        <f>+IF(SUM($F371:AA371)&gt;=AB436*$F$9,0,AB371)</f>
        <v>0</v>
      </c>
      <c r="AC305" s="331">
        <f>+IF(SUM($F371:AB371)&gt;=AC436*$F$9,0,AC371)</f>
        <v>0</v>
      </c>
      <c r="AD305" s="331">
        <f>+IF(SUM($F371:AC371)&gt;=AD436*$F$9,0,AD371)</f>
        <v>0</v>
      </c>
      <c r="AE305" s="331">
        <f>+IF(SUM($F371:AD371)&gt;=AE436*$F$9,0,AE371)</f>
        <v>0</v>
      </c>
      <c r="AF305" s="331">
        <f>+IF(SUM($F371:AE371)&gt;=AF436*$F$9,0,AF371)</f>
        <v>0</v>
      </c>
      <c r="AG305" s="331">
        <f>+IF(SUM($F371:AF371)&gt;=AG436*$F$9,0,AG371)</f>
        <v>0</v>
      </c>
      <c r="AH305" s="331">
        <f>+IF(SUM($F371:AG371)&gt;=AH436*$F$9,0,AH371)</f>
        <v>0</v>
      </c>
      <c r="AI305" s="331">
        <f>+IF(SUM($F371:AH371)&gt;=AI436*$F$9,0,AI371)</f>
        <v>0</v>
      </c>
      <c r="AJ305" s="331">
        <f>+IF(SUM($F371:AI371)&gt;=AJ436*$F$9,0,AJ371)</f>
        <v>0</v>
      </c>
      <c r="AK305" s="331">
        <f>+IF(SUM($F371:AJ371)&gt;=AK436*$F$9,0,AK371)</f>
        <v>0</v>
      </c>
      <c r="AL305" s="331">
        <f>+IF(SUM($F371:AK371)&gt;=AL436*$F$9,0,AL371)</f>
        <v>0</v>
      </c>
      <c r="AM305" s="331">
        <f>+IF(SUM($F371:AL371)&gt;=AM436*$F$9,0,AM371)</f>
        <v>0</v>
      </c>
      <c r="AN305" s="331">
        <f>+IF(SUM($F371:AM371)&gt;=AN436*$F$9,0,AN371)</f>
        <v>0</v>
      </c>
      <c r="AO305" s="331">
        <f>+IF(SUM($F371:AN371)&gt;=AO436*$F$9,0,AO371)</f>
        <v>0</v>
      </c>
      <c r="AP305" s="331">
        <f>+IF(SUM($F371:AO371)&gt;=AP436*$F$9,0,AP371)</f>
        <v>0</v>
      </c>
      <c r="AQ305" s="331">
        <f>+IF(SUM($F371:AP371)&gt;=AQ436*$F$9,0,AQ371)</f>
        <v>0</v>
      </c>
      <c r="AR305" s="331">
        <f>+IF(SUM($F371:AQ371)&gt;=AR436*$F$9,0,AR371)</f>
        <v>0</v>
      </c>
      <c r="AS305" s="331">
        <f>+IF(SUM($F371:AR371)&gt;=AS436*$F$9,0,AS371)</f>
        <v>0</v>
      </c>
      <c r="AT305" s="331">
        <f>+IF(SUM($F371:AS371)&gt;=AT436*$F$9,0,AT371)</f>
        <v>0</v>
      </c>
      <c r="AU305" s="331">
        <f>+IF(SUM($F371:AT371)&gt;=AU436*$F$9,0,AU371)</f>
        <v>0</v>
      </c>
      <c r="AV305" s="331">
        <f>+IF(SUM($F371:AU371)&gt;=AV436*$F$9,0,AV371)</f>
        <v>0</v>
      </c>
      <c r="AW305" s="331">
        <f>+IF(SUM($F371:AV371)&gt;=AW436*$F$9,0,AW371)</f>
        <v>0</v>
      </c>
      <c r="AX305" s="331">
        <f>+IF(SUM($F371:AW371)&gt;=AX436*$F$9,0,AX371)</f>
        <v>0</v>
      </c>
      <c r="AY305" s="331">
        <f>+IF(SUM($F371:AX371)&gt;=AY436*$F$9,0,AY371)</f>
        <v>0</v>
      </c>
      <c r="AZ305" s="331">
        <f>+IF(SUM($F371:AY371)&gt;=AZ436*$F$9,0,AZ371)</f>
        <v>0</v>
      </c>
      <c r="BA305" s="331">
        <f>+IF(SUM($F371:AZ371)&gt;=BA436*$F$9,0,BA371)</f>
        <v>0</v>
      </c>
      <c r="BB305" s="331">
        <f>+IF(SUM($F371:BA371)&gt;=BB436*$F$9,0,BB371)</f>
        <v>0</v>
      </c>
      <c r="BC305" s="331">
        <f>+IF(SUM($F371:BB371)&gt;=BC436*$F$9,0,BC371)</f>
        <v>0</v>
      </c>
      <c r="BD305" s="331">
        <f>+IF(SUM($F371:BC371)&gt;=BD436*$F$9,0,BD371)</f>
        <v>0</v>
      </c>
      <c r="BE305" s="331">
        <f>+IF(SUM($F371:BD371)&gt;=BE436*$F$9,0,BE371)</f>
        <v>0</v>
      </c>
      <c r="BF305" s="331">
        <f>+IF(SUM($F371:BE371)&gt;=BF436*$F$9,0,BF371)</f>
        <v>0</v>
      </c>
      <c r="BG305" s="331">
        <f>+IF(SUM($F371:BF371)&gt;=BG436*$F$9,0,BG371)</f>
        <v>0</v>
      </c>
      <c r="BH305" s="331">
        <f>+IF(SUM($F371:BG371)&gt;=BH436*$F$9,0,BH371)</f>
        <v>0</v>
      </c>
      <c r="BI305" s="331">
        <f>+IF(SUM($F371:BH371)&gt;=BI436*$F$9,0,BI371)</f>
        <v>0</v>
      </c>
      <c r="BJ305" s="331">
        <f>+IF(SUM($F371:BI371)&gt;=BJ436*$F$9,0,BJ371)</f>
        <v>0</v>
      </c>
      <c r="BK305" s="331">
        <f>+IF(SUM($F371:BJ371)&gt;=BK436*$F$9,0,BK371)</f>
        <v>0</v>
      </c>
      <c r="BL305" s="331">
        <f>+IF(SUM($F371:BK371)&gt;=BL436*$F$9,0,BL371)</f>
        <v>0</v>
      </c>
      <c r="BM305" s="331">
        <f>+IF(SUM($F371:BL371)&gt;=BM436*$F$9,0,BM371)</f>
        <v>0</v>
      </c>
    </row>
    <row r="306" spans="5:65" ht="15.75">
      <c r="E306" s="416">
        <f t="shared" si="193"/>
        <v>44458</v>
      </c>
      <c r="F306" s="331">
        <f t="shared" si="192"/>
        <v>0</v>
      </c>
      <c r="G306" s="331">
        <f>+IF(SUM($F372:F372)&gt;=G437*$F$9,0,G372)</f>
        <v>0</v>
      </c>
      <c r="H306" s="331">
        <f>+IF(SUM($F372:G372)&gt;=H437*$F$9,0,H372)</f>
        <v>0</v>
      </c>
      <c r="I306" s="331">
        <f>+IF(SUM($F372:H372)&gt;=I437*$F$9,0,I372)</f>
        <v>0</v>
      </c>
      <c r="J306" s="331">
        <f>+IF(SUM($F372:I372)&gt;=J437*$F$9,0,J372)</f>
        <v>0</v>
      </c>
      <c r="K306" s="331">
        <f>+IF(SUM($F372:J372)&gt;=K437*$F$9,0,K372)</f>
        <v>0</v>
      </c>
      <c r="L306" s="331">
        <f>+IF(SUM($F372:K372)&gt;=L437*$F$9,0,L372)</f>
        <v>0</v>
      </c>
      <c r="M306" s="331">
        <f>+IF(SUM($F372:L372)&gt;=M437*$F$9,0,M372)</f>
        <v>0</v>
      </c>
      <c r="N306" s="331">
        <f>+IF(SUM($F372:M372)&gt;=N437*$F$9,0,N372)</f>
        <v>0</v>
      </c>
      <c r="O306" s="331">
        <f>+IF(SUM($F372:N372)&gt;=O437*$F$9,0,O372)</f>
        <v>0</v>
      </c>
      <c r="P306" s="331">
        <f>+IF(SUM($F372:O372)&gt;=P437*$F$9,0,P372)</f>
        <v>0</v>
      </c>
      <c r="Q306" s="331">
        <f>+IF(SUM($F372:P372)&gt;=Q437*$F$9,0,Q372)</f>
        <v>0</v>
      </c>
      <c r="R306" s="331">
        <f>+IF(SUM($F372:Q372)&gt;=R437*$F$9,0,R372)</f>
        <v>0</v>
      </c>
      <c r="S306" s="331">
        <f>+IF(SUM($F372:R372)&gt;=S437*$F$9,0,S372)</f>
        <v>0</v>
      </c>
      <c r="T306" s="331">
        <f>+IF(SUM($F372:S372)&gt;=T437*$F$9,0,T372)</f>
        <v>0</v>
      </c>
      <c r="U306" s="331">
        <f>+IF(SUM($F372:T372)&gt;=U437*$F$9,0,U372)</f>
        <v>0</v>
      </c>
      <c r="V306" s="331">
        <f>+IF(SUM($F372:U372)&gt;=V437*$F$9,0,V372)</f>
        <v>0</v>
      </c>
      <c r="W306" s="331">
        <f>+IF(SUM($F372:V372)&gt;=W437*$F$9,0,W372)</f>
        <v>0</v>
      </c>
      <c r="X306" s="331">
        <f>+IF(SUM($F372:W372)&gt;=X437*$F$9,0,X372)</f>
        <v>0</v>
      </c>
      <c r="Y306" s="331">
        <f>+IF(SUM($F372:X372)&gt;=Y437*$F$9,0,Y372)</f>
        <v>0</v>
      </c>
      <c r="Z306" s="331">
        <f>+IF(SUM($F372:Y372)&gt;=Z437*$F$9,0,Z372)</f>
        <v>0</v>
      </c>
      <c r="AA306" s="331">
        <f>+IF(SUM($F372:Z372)&gt;=AA437*$F$9,0,AA372)</f>
        <v>0</v>
      </c>
      <c r="AB306" s="331">
        <f>+IF(SUM($F372:AA372)&gt;=AB437*$F$9,0,AB372)</f>
        <v>0</v>
      </c>
      <c r="AC306" s="331">
        <f>+IF(SUM($F372:AB372)&gt;=AC437*$F$9,0,AC372)</f>
        <v>0</v>
      </c>
      <c r="AD306" s="331">
        <f>+IF(SUM($F372:AC372)&gt;=AD437*$F$9,0,AD372)</f>
        <v>0</v>
      </c>
      <c r="AE306" s="331">
        <f>+IF(SUM($F372:AD372)&gt;=AE437*$F$9,0,AE372)</f>
        <v>0</v>
      </c>
      <c r="AF306" s="331">
        <f>+IF(SUM($F372:AE372)&gt;=AF437*$F$9,0,AF372)</f>
        <v>0</v>
      </c>
      <c r="AG306" s="331">
        <f>+IF(SUM($F372:AF372)&gt;=AG437*$F$9,0,AG372)</f>
        <v>0</v>
      </c>
      <c r="AH306" s="331">
        <f>+IF(SUM($F372:AG372)&gt;=AH437*$F$9,0,AH372)</f>
        <v>0</v>
      </c>
      <c r="AI306" s="331">
        <f>+IF(SUM($F372:AH372)&gt;=AI437*$F$9,0,AI372)</f>
        <v>0</v>
      </c>
      <c r="AJ306" s="331">
        <f>+IF(SUM($F372:AI372)&gt;=AJ437*$F$9,0,AJ372)</f>
        <v>0</v>
      </c>
      <c r="AK306" s="331">
        <f>+IF(SUM($F372:AJ372)&gt;=AK437*$F$9,0,AK372)</f>
        <v>0</v>
      </c>
      <c r="AL306" s="331">
        <f>+IF(SUM($F372:AK372)&gt;=AL437*$F$9,0,AL372)</f>
        <v>0</v>
      </c>
      <c r="AM306" s="331">
        <f>+IF(SUM($F372:AL372)&gt;=AM437*$F$9,0,AM372)</f>
        <v>0</v>
      </c>
      <c r="AN306" s="331">
        <f>+IF(SUM($F372:AM372)&gt;=AN437*$F$9,0,AN372)</f>
        <v>0</v>
      </c>
      <c r="AO306" s="331">
        <f>+IF(SUM($F372:AN372)&gt;=AO437*$F$9,0,AO372)</f>
        <v>0</v>
      </c>
      <c r="AP306" s="331">
        <f>+IF(SUM($F372:AO372)&gt;=AP437*$F$9,0,AP372)</f>
        <v>0</v>
      </c>
      <c r="AQ306" s="331">
        <f>+IF(SUM($F372:AP372)&gt;=AQ437*$F$9,0,AQ372)</f>
        <v>0</v>
      </c>
      <c r="AR306" s="331">
        <f>+IF(SUM($F372:AQ372)&gt;=AR437*$F$9,0,AR372)</f>
        <v>0</v>
      </c>
      <c r="AS306" s="331">
        <f>+IF(SUM($F372:AR372)&gt;=AS437*$F$9,0,AS372)</f>
        <v>0</v>
      </c>
      <c r="AT306" s="331">
        <f>+IF(SUM($F372:AS372)&gt;=AT437*$F$9,0,AT372)</f>
        <v>0</v>
      </c>
      <c r="AU306" s="331">
        <f>+IF(SUM($F372:AT372)&gt;=AU437*$F$9,0,AU372)</f>
        <v>0</v>
      </c>
      <c r="AV306" s="331">
        <f>+IF(SUM($F372:AU372)&gt;=AV437*$F$9,0,AV372)</f>
        <v>0</v>
      </c>
      <c r="AW306" s="331">
        <f>+IF(SUM($F372:AV372)&gt;=AW437*$F$9,0,AW372)</f>
        <v>0</v>
      </c>
      <c r="AX306" s="331">
        <f>+IF(SUM($F372:AW372)&gt;=AX437*$F$9,0,AX372)</f>
        <v>0</v>
      </c>
      <c r="AY306" s="331">
        <f>+IF(SUM($F372:AX372)&gt;=AY437*$F$9,0,AY372)</f>
        <v>0</v>
      </c>
      <c r="AZ306" s="331">
        <f>+IF(SUM($F372:AY372)&gt;=AZ437*$F$9,0,AZ372)</f>
        <v>0</v>
      </c>
      <c r="BA306" s="331">
        <f>+IF(SUM($F372:AZ372)&gt;=BA437*$F$9,0,BA372)</f>
        <v>0</v>
      </c>
      <c r="BB306" s="331">
        <f>+IF(SUM($F372:BA372)&gt;=BB437*$F$9,0,BB372)</f>
        <v>0</v>
      </c>
      <c r="BC306" s="331">
        <f>+IF(SUM($F372:BB372)&gt;=BC437*$F$9,0,BC372)</f>
        <v>0</v>
      </c>
      <c r="BD306" s="331">
        <f>+IF(SUM($F372:BC372)&gt;=BD437*$F$9,0,BD372)</f>
        <v>0</v>
      </c>
      <c r="BE306" s="331">
        <f>+IF(SUM($F372:BD372)&gt;=BE437*$F$9,0,BE372)</f>
        <v>0</v>
      </c>
      <c r="BF306" s="331">
        <f>+IF(SUM($F372:BE372)&gt;=BF437*$F$9,0,BF372)</f>
        <v>0</v>
      </c>
      <c r="BG306" s="331">
        <f>+IF(SUM($F372:BF372)&gt;=BG437*$F$9,0,BG372)</f>
        <v>0</v>
      </c>
      <c r="BH306" s="331">
        <f>+IF(SUM($F372:BG372)&gt;=BH437*$F$9,0,BH372)</f>
        <v>0</v>
      </c>
      <c r="BI306" s="331">
        <f>+IF(SUM($F372:BH372)&gt;=BI437*$F$9,0,BI372)</f>
        <v>0</v>
      </c>
      <c r="BJ306" s="331">
        <f>+IF(SUM($F372:BI372)&gt;=BJ437*$F$9,0,BJ372)</f>
        <v>0</v>
      </c>
      <c r="BK306" s="331">
        <f>+IF(SUM($F372:BJ372)&gt;=BK437*$F$9,0,BK372)</f>
        <v>0</v>
      </c>
      <c r="BL306" s="331">
        <f>+IF(SUM($F372:BK372)&gt;=BL437*$F$9,0,BL372)</f>
        <v>0</v>
      </c>
      <c r="BM306" s="331">
        <f>+IF(SUM($F372:BL372)&gt;=BM437*$F$9,0,BM372)</f>
        <v>0</v>
      </c>
    </row>
    <row r="307" spans="5:65" ht="15.75">
      <c r="E307" s="416">
        <f t="shared" si="193"/>
        <v>44489</v>
      </c>
      <c r="F307" s="331">
        <f t="shared" si="192"/>
        <v>0</v>
      </c>
      <c r="G307" s="331">
        <f>+IF(SUM($F373:F373)&gt;=G438*$F$9,0,G373)</f>
        <v>0</v>
      </c>
      <c r="H307" s="331">
        <f>+IF(SUM($F373:G373)&gt;=H438*$F$9,0,H373)</f>
        <v>0</v>
      </c>
      <c r="I307" s="331">
        <f>+IF(SUM($F373:H373)&gt;=I438*$F$9,0,I373)</f>
        <v>0</v>
      </c>
      <c r="J307" s="331">
        <f>+IF(SUM($F373:I373)&gt;=J438*$F$9,0,J373)</f>
        <v>0</v>
      </c>
      <c r="K307" s="331">
        <f>+IF(SUM($F373:J373)&gt;=K438*$F$9,0,K373)</f>
        <v>0</v>
      </c>
      <c r="L307" s="331">
        <f>+IF(SUM($F373:K373)&gt;=L438*$F$9,0,L373)</f>
        <v>0</v>
      </c>
      <c r="M307" s="331">
        <f>+IF(SUM($F373:L373)&gt;=M438*$F$9,0,M373)</f>
        <v>0</v>
      </c>
      <c r="N307" s="331">
        <f>+IF(SUM($F373:M373)&gt;=N438*$F$9,0,N373)</f>
        <v>0</v>
      </c>
      <c r="O307" s="331">
        <f>+IF(SUM($F373:N373)&gt;=O438*$F$9,0,O373)</f>
        <v>0</v>
      </c>
      <c r="P307" s="331">
        <f>+IF(SUM($F373:O373)&gt;=P438*$F$9,0,P373)</f>
        <v>0</v>
      </c>
      <c r="Q307" s="331">
        <f>+IF(SUM($F373:P373)&gt;=Q438*$F$9,0,Q373)</f>
        <v>0</v>
      </c>
      <c r="R307" s="331">
        <f>+IF(SUM($F373:Q373)&gt;=R438*$F$9,0,R373)</f>
        <v>0</v>
      </c>
      <c r="S307" s="331">
        <f>+IF(SUM($F373:R373)&gt;=S438*$F$9,0,S373)</f>
        <v>0</v>
      </c>
      <c r="T307" s="331">
        <f>+IF(SUM($F373:S373)&gt;=T438*$F$9,0,T373)</f>
        <v>0</v>
      </c>
      <c r="U307" s="331">
        <f>+IF(SUM($F373:T373)&gt;=U438*$F$9,0,U373)</f>
        <v>0</v>
      </c>
      <c r="V307" s="331">
        <f>+IF(SUM($F373:U373)&gt;=V438*$F$9,0,V373)</f>
        <v>0</v>
      </c>
      <c r="W307" s="331">
        <f>+IF(SUM($F373:V373)&gt;=W438*$F$9,0,W373)</f>
        <v>0</v>
      </c>
      <c r="X307" s="331">
        <f>+IF(SUM($F373:W373)&gt;=X438*$F$9,0,X373)</f>
        <v>0</v>
      </c>
      <c r="Y307" s="331">
        <f>+IF(SUM($F373:X373)&gt;=Y438*$F$9,0,Y373)</f>
        <v>0</v>
      </c>
      <c r="Z307" s="331">
        <f>+IF(SUM($F373:Y373)&gt;=Z438*$F$9,0,Z373)</f>
        <v>0</v>
      </c>
      <c r="AA307" s="331">
        <f>+IF(SUM($F373:Z373)&gt;=AA438*$F$9,0,AA373)</f>
        <v>0</v>
      </c>
      <c r="AB307" s="331">
        <f>+IF(SUM($F373:AA373)&gt;=AB438*$F$9,0,AB373)</f>
        <v>0</v>
      </c>
      <c r="AC307" s="331">
        <f>+IF(SUM($F373:AB373)&gt;=AC438*$F$9,0,AC373)</f>
        <v>0</v>
      </c>
      <c r="AD307" s="331">
        <f>+IF(SUM($F373:AC373)&gt;=AD438*$F$9,0,AD373)</f>
        <v>0</v>
      </c>
      <c r="AE307" s="331">
        <f>+IF(SUM($F373:AD373)&gt;=AE438*$F$9,0,AE373)</f>
        <v>0</v>
      </c>
      <c r="AF307" s="331">
        <f>+IF(SUM($F373:AE373)&gt;=AF438*$F$9,0,AF373)</f>
        <v>0</v>
      </c>
      <c r="AG307" s="331">
        <f>+IF(SUM($F373:AF373)&gt;=AG438*$F$9,0,AG373)</f>
        <v>0</v>
      </c>
      <c r="AH307" s="331">
        <f>+IF(SUM($F373:AG373)&gt;=AH438*$F$9,0,AH373)</f>
        <v>0</v>
      </c>
      <c r="AI307" s="331">
        <f>+IF(SUM($F373:AH373)&gt;=AI438*$F$9,0,AI373)</f>
        <v>0</v>
      </c>
      <c r="AJ307" s="331">
        <f>+IF(SUM($F373:AI373)&gt;=AJ438*$F$9,0,AJ373)</f>
        <v>0</v>
      </c>
      <c r="AK307" s="331">
        <f>+IF(SUM($F373:AJ373)&gt;=AK438*$F$9,0,AK373)</f>
        <v>0</v>
      </c>
      <c r="AL307" s="331">
        <f>+IF(SUM($F373:AK373)&gt;=AL438*$F$9,0,AL373)</f>
        <v>0</v>
      </c>
      <c r="AM307" s="331">
        <f>+IF(SUM($F373:AL373)&gt;=AM438*$F$9,0,AM373)</f>
        <v>0</v>
      </c>
      <c r="AN307" s="331">
        <f>+IF(SUM($F373:AM373)&gt;=AN438*$F$9,0,AN373)</f>
        <v>0</v>
      </c>
      <c r="AO307" s="331">
        <f>+IF(SUM($F373:AN373)&gt;=AO438*$F$9,0,AO373)</f>
        <v>0</v>
      </c>
      <c r="AP307" s="331">
        <f>+IF(SUM($F373:AO373)&gt;=AP438*$F$9,0,AP373)</f>
        <v>0</v>
      </c>
      <c r="AQ307" s="331">
        <f>+IF(SUM($F373:AP373)&gt;=AQ438*$F$9,0,AQ373)</f>
        <v>0</v>
      </c>
      <c r="AR307" s="331">
        <f>+IF(SUM($F373:AQ373)&gt;=AR438*$F$9,0,AR373)</f>
        <v>0</v>
      </c>
      <c r="AS307" s="331">
        <f>+IF(SUM($F373:AR373)&gt;=AS438*$F$9,0,AS373)</f>
        <v>0</v>
      </c>
      <c r="AT307" s="331">
        <f>+IF(SUM($F373:AS373)&gt;=AT438*$F$9,0,AT373)</f>
        <v>0</v>
      </c>
      <c r="AU307" s="331">
        <f>+IF(SUM($F373:AT373)&gt;=AU438*$F$9,0,AU373)</f>
        <v>0</v>
      </c>
      <c r="AV307" s="331">
        <f>+IF(SUM($F373:AU373)&gt;=AV438*$F$9,0,AV373)</f>
        <v>0</v>
      </c>
      <c r="AW307" s="331">
        <f>+IF(SUM($F373:AV373)&gt;=AW438*$F$9,0,AW373)</f>
        <v>0</v>
      </c>
      <c r="AX307" s="331">
        <f>+IF(SUM($F373:AW373)&gt;=AX438*$F$9,0,AX373)</f>
        <v>0</v>
      </c>
      <c r="AY307" s="331">
        <f>+IF(SUM($F373:AX373)&gt;=AY438*$F$9,0,AY373)</f>
        <v>0</v>
      </c>
      <c r="AZ307" s="331">
        <f>+IF(SUM($F373:AY373)&gt;=AZ438*$F$9,0,AZ373)</f>
        <v>0</v>
      </c>
      <c r="BA307" s="331">
        <f>+IF(SUM($F373:AZ373)&gt;=BA438*$F$9,0,BA373)</f>
        <v>0</v>
      </c>
      <c r="BB307" s="331">
        <f>+IF(SUM($F373:BA373)&gt;=BB438*$F$9,0,BB373)</f>
        <v>0</v>
      </c>
      <c r="BC307" s="331">
        <f>+IF(SUM($F373:BB373)&gt;=BC438*$F$9,0,BC373)</f>
        <v>0</v>
      </c>
      <c r="BD307" s="331">
        <f>+IF(SUM($F373:BC373)&gt;=BD438*$F$9,0,BD373)</f>
        <v>0</v>
      </c>
      <c r="BE307" s="331">
        <f>+IF(SUM($F373:BD373)&gt;=BE438*$F$9,0,BE373)</f>
        <v>0</v>
      </c>
      <c r="BF307" s="331">
        <f>+IF(SUM($F373:BE373)&gt;=BF438*$F$9,0,BF373)</f>
        <v>0</v>
      </c>
      <c r="BG307" s="331">
        <f>+IF(SUM($F373:BF373)&gt;=BG438*$F$9,0,BG373)</f>
        <v>0</v>
      </c>
      <c r="BH307" s="331">
        <f>+IF(SUM($F373:BG373)&gt;=BH438*$F$9,0,BH373)</f>
        <v>0</v>
      </c>
      <c r="BI307" s="331">
        <f>+IF(SUM($F373:BH373)&gt;=BI438*$F$9,0,BI373)</f>
        <v>0</v>
      </c>
      <c r="BJ307" s="331">
        <f>+IF(SUM($F373:BI373)&gt;=BJ438*$F$9,0,BJ373)</f>
        <v>0</v>
      </c>
      <c r="BK307" s="331">
        <f>+IF(SUM($F373:BJ373)&gt;=BK438*$F$9,0,BK373)</f>
        <v>0</v>
      </c>
      <c r="BL307" s="331">
        <f>+IF(SUM($F373:BK373)&gt;=BL438*$F$9,0,BL373)</f>
        <v>0</v>
      </c>
      <c r="BM307" s="331">
        <f>+IF(SUM($F373:BL373)&gt;=BM438*$F$9,0,BM373)</f>
        <v>0</v>
      </c>
    </row>
    <row r="308" spans="5:65" ht="15.75">
      <c r="E308" s="416">
        <f t="shared" si="193"/>
        <v>44520</v>
      </c>
      <c r="F308" s="331">
        <f t="shared" si="192"/>
        <v>0</v>
      </c>
      <c r="G308" s="331">
        <f>+IF(SUM($F374:F374)&gt;=G439*$F$9,0,G374)</f>
        <v>0</v>
      </c>
      <c r="H308" s="331">
        <f>+IF(SUM($F374:G374)&gt;=H439*$F$9,0,H374)</f>
        <v>0</v>
      </c>
      <c r="I308" s="331">
        <f>+IF(SUM($F374:H374)&gt;=I439*$F$9,0,I374)</f>
        <v>0</v>
      </c>
      <c r="J308" s="331">
        <f>+IF(SUM($F374:I374)&gt;=J439*$F$9,0,J374)</f>
        <v>0</v>
      </c>
      <c r="K308" s="331">
        <f>+IF(SUM($F374:J374)&gt;=K439*$F$9,0,K374)</f>
        <v>0</v>
      </c>
      <c r="L308" s="331">
        <f>+IF(SUM($F374:K374)&gt;=L439*$F$9,0,L374)</f>
        <v>0</v>
      </c>
      <c r="M308" s="331">
        <f>+IF(SUM($F374:L374)&gt;=M439*$F$9,0,M374)</f>
        <v>0</v>
      </c>
      <c r="N308" s="331">
        <f>+IF(SUM($F374:M374)&gt;=N439*$F$9,0,N374)</f>
        <v>0</v>
      </c>
      <c r="O308" s="331">
        <f>+IF(SUM($F374:N374)&gt;=O439*$F$9,0,O374)</f>
        <v>0</v>
      </c>
      <c r="P308" s="331">
        <f>+IF(SUM($F374:O374)&gt;=P439*$F$9,0,P374)</f>
        <v>0</v>
      </c>
      <c r="Q308" s="331">
        <f>+IF(SUM($F374:P374)&gt;=Q439*$F$9,0,Q374)</f>
        <v>0</v>
      </c>
      <c r="R308" s="331">
        <f>+IF(SUM($F374:Q374)&gt;=R439*$F$9,0,R374)</f>
        <v>0</v>
      </c>
      <c r="S308" s="331">
        <f>+IF(SUM($F374:R374)&gt;=S439*$F$9,0,S374)</f>
        <v>0</v>
      </c>
      <c r="T308" s="331">
        <f>+IF(SUM($F374:S374)&gt;=T439*$F$9,0,T374)</f>
        <v>0</v>
      </c>
      <c r="U308" s="331">
        <f>+IF(SUM($F374:T374)&gt;=U439*$F$9,0,U374)</f>
        <v>0</v>
      </c>
      <c r="V308" s="331">
        <f>+IF(SUM($F374:U374)&gt;=V439*$F$9,0,V374)</f>
        <v>0</v>
      </c>
      <c r="W308" s="331">
        <f>+IF(SUM($F374:V374)&gt;=W439*$F$9,0,W374)</f>
        <v>0</v>
      </c>
      <c r="X308" s="331">
        <f>+IF(SUM($F374:W374)&gt;=X439*$F$9,0,X374)</f>
        <v>0</v>
      </c>
      <c r="Y308" s="331">
        <f>+IF(SUM($F374:X374)&gt;=Y439*$F$9,0,Y374)</f>
        <v>0</v>
      </c>
      <c r="Z308" s="331">
        <f>+IF(SUM($F374:Y374)&gt;=Z439*$F$9,0,Z374)</f>
        <v>0</v>
      </c>
      <c r="AA308" s="331">
        <f>+IF(SUM($F374:Z374)&gt;=AA439*$F$9,0,AA374)</f>
        <v>0</v>
      </c>
      <c r="AB308" s="331">
        <f>+IF(SUM($F374:AA374)&gt;=AB439*$F$9,0,AB374)</f>
        <v>0</v>
      </c>
      <c r="AC308" s="331">
        <f>+IF(SUM($F374:AB374)&gt;=AC439*$F$9,0,AC374)</f>
        <v>0</v>
      </c>
      <c r="AD308" s="331">
        <f>+IF(SUM($F374:AC374)&gt;=AD439*$F$9,0,AD374)</f>
        <v>0</v>
      </c>
      <c r="AE308" s="331">
        <f>+IF(SUM($F374:AD374)&gt;=AE439*$F$9,0,AE374)</f>
        <v>0</v>
      </c>
      <c r="AF308" s="331">
        <f>+IF(SUM($F374:AE374)&gt;=AF439*$F$9,0,AF374)</f>
        <v>0</v>
      </c>
      <c r="AG308" s="331">
        <f>+IF(SUM($F374:AF374)&gt;=AG439*$F$9,0,AG374)</f>
        <v>0</v>
      </c>
      <c r="AH308" s="331">
        <f>+IF(SUM($F374:AG374)&gt;=AH439*$F$9,0,AH374)</f>
        <v>0</v>
      </c>
      <c r="AI308" s="331">
        <f>+IF(SUM($F374:AH374)&gt;=AI439*$F$9,0,AI374)</f>
        <v>0</v>
      </c>
      <c r="AJ308" s="331">
        <f>+IF(SUM($F374:AI374)&gt;=AJ439*$F$9,0,AJ374)</f>
        <v>0</v>
      </c>
      <c r="AK308" s="331">
        <f>+IF(SUM($F374:AJ374)&gt;=AK439*$F$9,0,AK374)</f>
        <v>0</v>
      </c>
      <c r="AL308" s="331">
        <f>+IF(SUM($F374:AK374)&gt;=AL439*$F$9,0,AL374)</f>
        <v>0</v>
      </c>
      <c r="AM308" s="331">
        <f>+IF(SUM($F374:AL374)&gt;=AM439*$F$9,0,AM374)</f>
        <v>0</v>
      </c>
      <c r="AN308" s="331">
        <f>+IF(SUM($F374:AM374)&gt;=AN439*$F$9,0,AN374)</f>
        <v>0</v>
      </c>
      <c r="AO308" s="331">
        <f>+IF(SUM($F374:AN374)&gt;=AO439*$F$9,0,AO374)</f>
        <v>0</v>
      </c>
      <c r="AP308" s="331">
        <f>+IF(SUM($F374:AO374)&gt;=AP439*$F$9,0,AP374)</f>
        <v>0</v>
      </c>
      <c r="AQ308" s="331">
        <f>+IF(SUM($F374:AP374)&gt;=AQ439*$F$9,0,AQ374)</f>
        <v>0</v>
      </c>
      <c r="AR308" s="331">
        <f>+IF(SUM($F374:AQ374)&gt;=AR439*$F$9,0,AR374)</f>
        <v>0</v>
      </c>
      <c r="AS308" s="331">
        <f>+IF(SUM($F374:AR374)&gt;=AS439*$F$9,0,AS374)</f>
        <v>0</v>
      </c>
      <c r="AT308" s="331">
        <f>+IF(SUM($F374:AS374)&gt;=AT439*$F$9,0,AT374)</f>
        <v>0</v>
      </c>
      <c r="AU308" s="331">
        <f>+IF(SUM($F374:AT374)&gt;=AU439*$F$9,0,AU374)</f>
        <v>0</v>
      </c>
      <c r="AV308" s="331">
        <f>+IF(SUM($F374:AU374)&gt;=AV439*$F$9,0,AV374)</f>
        <v>0</v>
      </c>
      <c r="AW308" s="331">
        <f>+IF(SUM($F374:AV374)&gt;=AW439*$F$9,0,AW374)</f>
        <v>0</v>
      </c>
      <c r="AX308" s="331">
        <f>+IF(SUM($F374:AW374)&gt;=AX439*$F$9,0,AX374)</f>
        <v>0</v>
      </c>
      <c r="AY308" s="331">
        <f>+IF(SUM($F374:AX374)&gt;=AY439*$F$9,0,AY374)</f>
        <v>0</v>
      </c>
      <c r="AZ308" s="331">
        <f>+IF(SUM($F374:AY374)&gt;=AZ439*$F$9,0,AZ374)</f>
        <v>0</v>
      </c>
      <c r="BA308" s="331">
        <f>+IF(SUM($F374:AZ374)&gt;=BA439*$F$9,0,BA374)</f>
        <v>0</v>
      </c>
      <c r="BB308" s="331">
        <f>+IF(SUM($F374:BA374)&gt;=BB439*$F$9,0,BB374)</f>
        <v>0</v>
      </c>
      <c r="BC308" s="331">
        <f>+IF(SUM($F374:BB374)&gt;=BC439*$F$9,0,BC374)</f>
        <v>0</v>
      </c>
      <c r="BD308" s="331">
        <f>+IF(SUM($F374:BC374)&gt;=BD439*$F$9,0,BD374)</f>
        <v>0</v>
      </c>
      <c r="BE308" s="331">
        <f>+IF(SUM($F374:BD374)&gt;=BE439*$F$9,0,BE374)</f>
        <v>0</v>
      </c>
      <c r="BF308" s="331">
        <f>+IF(SUM($F374:BE374)&gt;=BF439*$F$9,0,BF374)</f>
        <v>0</v>
      </c>
      <c r="BG308" s="331">
        <f>+IF(SUM($F374:BF374)&gt;=BG439*$F$9,0,BG374)</f>
        <v>0</v>
      </c>
      <c r="BH308" s="331">
        <f>+IF(SUM($F374:BG374)&gt;=BH439*$F$9,0,BH374)</f>
        <v>0</v>
      </c>
      <c r="BI308" s="331">
        <f>+IF(SUM($F374:BH374)&gt;=BI439*$F$9,0,BI374)</f>
        <v>0</v>
      </c>
      <c r="BJ308" s="331">
        <f>+IF(SUM($F374:BI374)&gt;=BJ439*$F$9,0,BJ374)</f>
        <v>0</v>
      </c>
      <c r="BK308" s="331">
        <f>+IF(SUM($F374:BJ374)&gt;=BK439*$F$9,0,BK374)</f>
        <v>0</v>
      </c>
      <c r="BL308" s="331">
        <f>+IF(SUM($F374:BK374)&gt;=BL439*$F$9,0,BL374)</f>
        <v>0</v>
      </c>
      <c r="BM308" s="331">
        <f>+IF(SUM($F374:BL374)&gt;=BM439*$F$9,0,BM374)</f>
        <v>0</v>
      </c>
    </row>
    <row r="309" spans="5:65" ht="15.75">
      <c r="E309" s="416">
        <f t="shared" si="193"/>
        <v>44551</v>
      </c>
      <c r="F309" s="331">
        <f t="shared" si="192"/>
        <v>0</v>
      </c>
      <c r="G309" s="331">
        <f>+IF(SUM($F375:F375)&gt;=G440*$F$9,0,G375)</f>
        <v>0</v>
      </c>
      <c r="H309" s="331">
        <f>+IF(SUM($F375:G375)&gt;=H440*$F$9,0,H375)</f>
        <v>0</v>
      </c>
      <c r="I309" s="331">
        <f>+IF(SUM($F375:H375)&gt;=I440*$F$9,0,I375)</f>
        <v>0</v>
      </c>
      <c r="J309" s="331">
        <f>+IF(SUM($F375:I375)&gt;=J440*$F$9,0,J375)</f>
        <v>0</v>
      </c>
      <c r="K309" s="331">
        <f>+IF(SUM($F375:J375)&gt;=K440*$F$9,0,K375)</f>
        <v>0</v>
      </c>
      <c r="L309" s="331">
        <f>+IF(SUM($F375:K375)&gt;=L440*$F$9,0,L375)</f>
        <v>0</v>
      </c>
      <c r="M309" s="331">
        <f>+IF(SUM($F375:L375)&gt;=M440*$F$9,0,M375)</f>
        <v>0</v>
      </c>
      <c r="N309" s="331">
        <f>+IF(SUM($F375:M375)&gt;=N440*$F$9,0,N375)</f>
        <v>0</v>
      </c>
      <c r="O309" s="331">
        <f>+IF(SUM($F375:N375)&gt;=O440*$F$9,0,O375)</f>
        <v>0</v>
      </c>
      <c r="P309" s="331">
        <f>+IF(SUM($F375:O375)&gt;=P440*$F$9,0,P375)</f>
        <v>0</v>
      </c>
      <c r="Q309" s="331">
        <f>+IF(SUM($F375:P375)&gt;=Q440*$F$9,0,Q375)</f>
        <v>0</v>
      </c>
      <c r="R309" s="331">
        <f>+IF(SUM($F375:Q375)&gt;=R440*$F$9,0,R375)</f>
        <v>0</v>
      </c>
      <c r="S309" s="331">
        <f>+IF(SUM($F375:R375)&gt;=S440*$F$9,0,S375)</f>
        <v>0</v>
      </c>
      <c r="T309" s="331">
        <f>+IF(SUM($F375:S375)&gt;=T440*$F$9,0,T375)</f>
        <v>0</v>
      </c>
      <c r="U309" s="331">
        <f>+IF(SUM($F375:T375)&gt;=U440*$F$9,0,U375)</f>
        <v>0</v>
      </c>
      <c r="V309" s="331">
        <f>+IF(SUM($F375:U375)&gt;=V440*$F$9,0,V375)</f>
        <v>0</v>
      </c>
      <c r="W309" s="331">
        <f>+IF(SUM($F375:V375)&gt;=W440*$F$9,0,W375)</f>
        <v>0</v>
      </c>
      <c r="X309" s="331">
        <f>+IF(SUM($F375:W375)&gt;=X440*$F$9,0,X375)</f>
        <v>0</v>
      </c>
      <c r="Y309" s="331">
        <f>+IF(SUM($F375:X375)&gt;=Y440*$F$9,0,Y375)</f>
        <v>0</v>
      </c>
      <c r="Z309" s="331">
        <f>+IF(SUM($F375:Y375)&gt;=Z440*$F$9,0,Z375)</f>
        <v>0</v>
      </c>
      <c r="AA309" s="331">
        <f>+IF(SUM($F375:Z375)&gt;=AA440*$F$9,0,AA375)</f>
        <v>0</v>
      </c>
      <c r="AB309" s="331">
        <f>+IF(SUM($F375:AA375)&gt;=AB440*$F$9,0,AB375)</f>
        <v>0</v>
      </c>
      <c r="AC309" s="331">
        <f>+IF(SUM($F375:AB375)&gt;=AC440*$F$9,0,AC375)</f>
        <v>0</v>
      </c>
      <c r="AD309" s="331">
        <f>+IF(SUM($F375:AC375)&gt;=AD440*$F$9,0,AD375)</f>
        <v>0</v>
      </c>
      <c r="AE309" s="331">
        <f>+IF(SUM($F375:AD375)&gt;=AE440*$F$9,0,AE375)</f>
        <v>0</v>
      </c>
      <c r="AF309" s="331">
        <f>+IF(SUM($F375:AE375)&gt;=AF440*$F$9,0,AF375)</f>
        <v>0</v>
      </c>
      <c r="AG309" s="331">
        <f>+IF(SUM($F375:AF375)&gt;=AG440*$F$9,0,AG375)</f>
        <v>0</v>
      </c>
      <c r="AH309" s="331">
        <f>+IF(SUM($F375:AG375)&gt;=AH440*$F$9,0,AH375)</f>
        <v>0</v>
      </c>
      <c r="AI309" s="331">
        <f>+IF(SUM($F375:AH375)&gt;=AI440*$F$9,0,AI375)</f>
        <v>0</v>
      </c>
      <c r="AJ309" s="331">
        <f>+IF(SUM($F375:AI375)&gt;=AJ440*$F$9,0,AJ375)</f>
        <v>0</v>
      </c>
      <c r="AK309" s="331">
        <f>+IF(SUM($F375:AJ375)&gt;=AK440*$F$9,0,AK375)</f>
        <v>0</v>
      </c>
      <c r="AL309" s="331">
        <f>+IF(SUM($F375:AK375)&gt;=AL440*$F$9,0,AL375)</f>
        <v>0</v>
      </c>
      <c r="AM309" s="331">
        <f>+IF(SUM($F375:AL375)&gt;=AM440*$F$9,0,AM375)</f>
        <v>0</v>
      </c>
      <c r="AN309" s="331">
        <f>+IF(SUM($F375:AM375)&gt;=AN440*$F$9,0,AN375)</f>
        <v>0</v>
      </c>
      <c r="AO309" s="331">
        <f>+IF(SUM($F375:AN375)&gt;=AO440*$F$9,0,AO375)</f>
        <v>0</v>
      </c>
      <c r="AP309" s="331">
        <f>+IF(SUM($F375:AO375)&gt;=AP440*$F$9,0,AP375)</f>
        <v>0</v>
      </c>
      <c r="AQ309" s="331">
        <f>+IF(SUM($F375:AP375)&gt;=AQ440*$F$9,0,AQ375)</f>
        <v>0</v>
      </c>
      <c r="AR309" s="331">
        <f>+IF(SUM($F375:AQ375)&gt;=AR440*$F$9,0,AR375)</f>
        <v>0</v>
      </c>
      <c r="AS309" s="331">
        <f>+IF(SUM($F375:AR375)&gt;=AS440*$F$9,0,AS375)</f>
        <v>0</v>
      </c>
      <c r="AT309" s="331">
        <f>+IF(SUM($F375:AS375)&gt;=AT440*$F$9,0,AT375)</f>
        <v>0</v>
      </c>
      <c r="AU309" s="331">
        <f>+IF(SUM($F375:AT375)&gt;=AU440*$F$9,0,AU375)</f>
        <v>0</v>
      </c>
      <c r="AV309" s="331">
        <f>+IF(SUM($F375:AU375)&gt;=AV440*$F$9,0,AV375)</f>
        <v>0</v>
      </c>
      <c r="AW309" s="331">
        <f>+IF(SUM($F375:AV375)&gt;=AW440*$F$9,0,AW375)</f>
        <v>0</v>
      </c>
      <c r="AX309" s="331">
        <f>+IF(SUM($F375:AW375)&gt;=AX440*$F$9,0,AX375)</f>
        <v>0</v>
      </c>
      <c r="AY309" s="331">
        <f>+IF(SUM($F375:AX375)&gt;=AY440*$F$9,0,AY375)</f>
        <v>0</v>
      </c>
      <c r="AZ309" s="331">
        <f>+IF(SUM($F375:AY375)&gt;=AZ440*$F$9,0,AZ375)</f>
        <v>0</v>
      </c>
      <c r="BA309" s="331">
        <f>+IF(SUM($F375:AZ375)&gt;=BA440*$F$9,0,BA375)</f>
        <v>0</v>
      </c>
      <c r="BB309" s="331">
        <f>+IF(SUM($F375:BA375)&gt;=BB440*$F$9,0,BB375)</f>
        <v>0</v>
      </c>
      <c r="BC309" s="331">
        <f>+IF(SUM($F375:BB375)&gt;=BC440*$F$9,0,BC375)</f>
        <v>0</v>
      </c>
      <c r="BD309" s="331">
        <f>+IF(SUM($F375:BC375)&gt;=BD440*$F$9,0,BD375)</f>
        <v>0</v>
      </c>
      <c r="BE309" s="331">
        <f>+IF(SUM($F375:BD375)&gt;=BE440*$F$9,0,BE375)</f>
        <v>0</v>
      </c>
      <c r="BF309" s="331">
        <f>+IF(SUM($F375:BE375)&gt;=BF440*$F$9,0,BF375)</f>
        <v>0</v>
      </c>
      <c r="BG309" s="331">
        <f>+IF(SUM($F375:BF375)&gt;=BG440*$F$9,0,BG375)</f>
        <v>0</v>
      </c>
      <c r="BH309" s="331">
        <f>+IF(SUM($F375:BG375)&gt;=BH440*$F$9,0,BH375)</f>
        <v>0</v>
      </c>
      <c r="BI309" s="331">
        <f>+IF(SUM($F375:BH375)&gt;=BI440*$F$9,0,BI375)</f>
        <v>0</v>
      </c>
      <c r="BJ309" s="331">
        <f>+IF(SUM($F375:BI375)&gt;=BJ440*$F$9,0,BJ375)</f>
        <v>0</v>
      </c>
      <c r="BK309" s="331">
        <f>+IF(SUM($F375:BJ375)&gt;=BK440*$F$9,0,BK375)</f>
        <v>0</v>
      </c>
      <c r="BL309" s="331">
        <f>+IF(SUM($F375:BK375)&gt;=BL440*$F$9,0,BL375)</f>
        <v>0</v>
      </c>
      <c r="BM309" s="331">
        <f>+IF(SUM($F375:BL375)&gt;=BM440*$F$9,0,BM375)</f>
        <v>0</v>
      </c>
    </row>
    <row r="310" spans="5:65" ht="15.75">
      <c r="E310" s="416">
        <f t="shared" si="193"/>
        <v>44582</v>
      </c>
      <c r="F310" s="331">
        <f t="shared" si="192"/>
        <v>0</v>
      </c>
      <c r="G310" s="331">
        <f>+IF(SUM($F376:F376)&gt;=G441*$F$9,0,G376)</f>
        <v>0</v>
      </c>
      <c r="H310" s="331">
        <f>+IF(SUM($F376:G376)&gt;=H441*$F$9,0,H376)</f>
        <v>0</v>
      </c>
      <c r="I310" s="331">
        <f>+IF(SUM($F376:H376)&gt;=I441*$F$9,0,I376)</f>
        <v>0</v>
      </c>
      <c r="J310" s="331">
        <f>+IF(SUM($F376:I376)&gt;=J441*$F$9,0,J376)</f>
        <v>0</v>
      </c>
      <c r="K310" s="331">
        <f>+IF(SUM($F376:J376)&gt;=K441*$F$9,0,K376)</f>
        <v>0</v>
      </c>
      <c r="L310" s="331">
        <f>+IF(SUM($F376:K376)&gt;=L441*$F$9,0,L376)</f>
        <v>0</v>
      </c>
      <c r="M310" s="331">
        <f>+IF(SUM($F376:L376)&gt;=M441*$F$9,0,M376)</f>
        <v>0</v>
      </c>
      <c r="N310" s="331">
        <f>+IF(SUM($F376:M376)&gt;=N441*$F$9,0,N376)</f>
        <v>0</v>
      </c>
      <c r="O310" s="331">
        <f>+IF(SUM($F376:N376)&gt;=O441*$F$9,0,O376)</f>
        <v>0</v>
      </c>
      <c r="P310" s="331">
        <f>+IF(SUM($F376:O376)&gt;=P441*$F$9,0,P376)</f>
        <v>0</v>
      </c>
      <c r="Q310" s="331">
        <f>+IF(SUM($F376:P376)&gt;=Q441*$F$9,0,Q376)</f>
        <v>0</v>
      </c>
      <c r="R310" s="331">
        <f>+IF(SUM($F376:Q376)&gt;=R441*$F$9,0,R376)</f>
        <v>0</v>
      </c>
      <c r="S310" s="331">
        <f>+IF(SUM($F376:R376)&gt;=S441*$F$9,0,S376)</f>
        <v>0</v>
      </c>
      <c r="T310" s="331">
        <f>+IF(SUM($F376:S376)&gt;=T441*$F$9,0,T376)</f>
        <v>0</v>
      </c>
      <c r="U310" s="331">
        <f>+IF(SUM($F376:T376)&gt;=U441*$F$9,0,U376)</f>
        <v>0</v>
      </c>
      <c r="V310" s="331">
        <f>+IF(SUM($F376:U376)&gt;=V441*$F$9,0,V376)</f>
        <v>0</v>
      </c>
      <c r="W310" s="331">
        <f>+IF(SUM($F376:V376)&gt;=W441*$F$9,0,W376)</f>
        <v>0</v>
      </c>
      <c r="X310" s="331">
        <f>+IF(SUM($F376:W376)&gt;=X441*$F$9,0,X376)</f>
        <v>0</v>
      </c>
      <c r="Y310" s="331">
        <f>+IF(SUM($F376:X376)&gt;=Y441*$F$9,0,Y376)</f>
        <v>0</v>
      </c>
      <c r="Z310" s="331">
        <f>+IF(SUM($F376:Y376)&gt;=Z441*$F$9,0,Z376)</f>
        <v>0</v>
      </c>
      <c r="AA310" s="331">
        <f>+IF(SUM($F376:Z376)&gt;=AA441*$F$9,0,AA376)</f>
        <v>0</v>
      </c>
      <c r="AB310" s="331">
        <f>+IF(SUM($F376:AA376)&gt;=AB441*$F$9,0,AB376)</f>
        <v>0</v>
      </c>
      <c r="AC310" s="331">
        <f>+IF(SUM($F376:AB376)&gt;=AC441*$F$9,0,AC376)</f>
        <v>0</v>
      </c>
      <c r="AD310" s="331">
        <f>+IF(SUM($F376:AC376)&gt;=AD441*$F$9,0,AD376)</f>
        <v>0</v>
      </c>
      <c r="AE310" s="331">
        <f>+IF(SUM($F376:AD376)&gt;=AE441*$F$9,0,AE376)</f>
        <v>0</v>
      </c>
      <c r="AF310" s="331">
        <f>+IF(SUM($F376:AE376)&gt;=AF441*$F$9,0,AF376)</f>
        <v>0</v>
      </c>
      <c r="AG310" s="331">
        <f>+IF(SUM($F376:AF376)&gt;=AG441*$F$9,0,AG376)</f>
        <v>0</v>
      </c>
      <c r="AH310" s="331">
        <f>+IF(SUM($F376:AG376)&gt;=AH441*$F$9,0,AH376)</f>
        <v>0</v>
      </c>
      <c r="AI310" s="331">
        <f>+IF(SUM($F376:AH376)&gt;=AI441*$F$9,0,AI376)</f>
        <v>0</v>
      </c>
      <c r="AJ310" s="331">
        <f>+IF(SUM($F376:AI376)&gt;=AJ441*$F$9,0,AJ376)</f>
        <v>0</v>
      </c>
      <c r="AK310" s="331">
        <f>+IF(SUM($F376:AJ376)&gt;=AK441*$F$9,0,AK376)</f>
        <v>0</v>
      </c>
      <c r="AL310" s="331">
        <f>+IF(SUM($F376:AK376)&gt;=AL441*$F$9,0,AL376)</f>
        <v>0</v>
      </c>
      <c r="AM310" s="331">
        <f>+IF(SUM($F376:AL376)&gt;=AM441*$F$9,0,AM376)</f>
        <v>0</v>
      </c>
      <c r="AN310" s="331">
        <f>+IF(SUM($F376:AM376)&gt;=AN441*$F$9,0,AN376)</f>
        <v>0</v>
      </c>
      <c r="AO310" s="331">
        <f>+IF(SUM($F376:AN376)&gt;=AO441*$F$9,0,AO376)</f>
        <v>0</v>
      </c>
      <c r="AP310" s="331">
        <f>+IF(SUM($F376:AO376)&gt;=AP441*$F$9,0,AP376)</f>
        <v>0</v>
      </c>
      <c r="AQ310" s="331">
        <f>+IF(SUM($F376:AP376)&gt;=AQ441*$F$9,0,AQ376)</f>
        <v>0</v>
      </c>
      <c r="AR310" s="331">
        <f>+IF(SUM($F376:AQ376)&gt;=AR441*$F$9,0,AR376)</f>
        <v>0</v>
      </c>
      <c r="AS310" s="331">
        <f>+IF(SUM($F376:AR376)&gt;=AS441*$F$9,0,AS376)</f>
        <v>0</v>
      </c>
      <c r="AT310" s="331">
        <f>+IF(SUM($F376:AS376)&gt;=AT441*$F$9,0,AT376)</f>
        <v>0</v>
      </c>
      <c r="AU310" s="331">
        <f>+IF(SUM($F376:AT376)&gt;=AU441*$F$9,0,AU376)</f>
        <v>0</v>
      </c>
      <c r="AV310" s="331">
        <f>+IF(SUM($F376:AU376)&gt;=AV441*$F$9,0,AV376)</f>
        <v>0</v>
      </c>
      <c r="AW310" s="331">
        <f>+IF(SUM($F376:AV376)&gt;=AW441*$F$9,0,AW376)</f>
        <v>0</v>
      </c>
      <c r="AX310" s="331">
        <f>+IF(SUM($F376:AW376)&gt;=AX441*$F$9,0,AX376)</f>
        <v>0</v>
      </c>
      <c r="AY310" s="331">
        <f>+IF(SUM($F376:AX376)&gt;=AY441*$F$9,0,AY376)</f>
        <v>0</v>
      </c>
      <c r="AZ310" s="331">
        <f>+IF(SUM($F376:AY376)&gt;=AZ441*$F$9,0,AZ376)</f>
        <v>0</v>
      </c>
      <c r="BA310" s="331">
        <f>+IF(SUM($F376:AZ376)&gt;=BA441*$F$9,0,BA376)</f>
        <v>0</v>
      </c>
      <c r="BB310" s="331">
        <f>+IF(SUM($F376:BA376)&gt;=BB441*$F$9,0,BB376)</f>
        <v>0</v>
      </c>
      <c r="BC310" s="331">
        <f>+IF(SUM($F376:BB376)&gt;=BC441*$F$9,0,BC376)</f>
        <v>0</v>
      </c>
      <c r="BD310" s="331">
        <f>+IF(SUM($F376:BC376)&gt;=BD441*$F$9,0,BD376)</f>
        <v>0</v>
      </c>
      <c r="BE310" s="331">
        <f>+IF(SUM($F376:BD376)&gt;=BE441*$F$9,0,BE376)</f>
        <v>0</v>
      </c>
      <c r="BF310" s="331">
        <f>+IF(SUM($F376:BE376)&gt;=BF441*$F$9,0,BF376)</f>
        <v>0</v>
      </c>
      <c r="BG310" s="331">
        <f>+IF(SUM($F376:BF376)&gt;=BG441*$F$9,0,BG376)</f>
        <v>0</v>
      </c>
      <c r="BH310" s="331">
        <f>+IF(SUM($F376:BG376)&gt;=BH441*$F$9,0,BH376)</f>
        <v>0</v>
      </c>
      <c r="BI310" s="331">
        <f>+IF(SUM($F376:BH376)&gt;=BI441*$F$9,0,BI376)</f>
        <v>0</v>
      </c>
      <c r="BJ310" s="331">
        <f>+IF(SUM($F376:BI376)&gt;=BJ441*$F$9,0,BJ376)</f>
        <v>0</v>
      </c>
      <c r="BK310" s="331">
        <f>+IF(SUM($F376:BJ376)&gt;=BK441*$F$9,0,BK376)</f>
        <v>0</v>
      </c>
      <c r="BL310" s="331">
        <f>+IF(SUM($F376:BK376)&gt;=BL441*$F$9,0,BL376)</f>
        <v>0</v>
      </c>
      <c r="BM310" s="331">
        <f>+IF(SUM($F376:BL376)&gt;=BM441*$F$9,0,BM376)</f>
        <v>0</v>
      </c>
    </row>
    <row r="311" spans="5:65" ht="15.75">
      <c r="E311" s="416">
        <f t="shared" si="193"/>
        <v>44613</v>
      </c>
      <c r="F311" s="331">
        <f t="shared" si="192"/>
        <v>0</v>
      </c>
      <c r="G311" s="331">
        <f>+IF(SUM($F377:F377)&gt;=G442*$F$9,0,G377)</f>
        <v>0</v>
      </c>
      <c r="H311" s="331">
        <f>+IF(SUM($F377:G377)&gt;=H442*$F$9,0,H377)</f>
        <v>0</v>
      </c>
      <c r="I311" s="331">
        <f>+IF(SUM($F377:H377)&gt;=I442*$F$9,0,I377)</f>
        <v>0</v>
      </c>
      <c r="J311" s="331">
        <f>+IF(SUM($F377:I377)&gt;=J442*$F$9,0,J377)</f>
        <v>0</v>
      </c>
      <c r="K311" s="331">
        <f>+IF(SUM($F377:J377)&gt;=K442*$F$9,0,K377)</f>
        <v>0</v>
      </c>
      <c r="L311" s="331">
        <f>+IF(SUM($F377:K377)&gt;=L442*$F$9,0,L377)</f>
        <v>0</v>
      </c>
      <c r="M311" s="331">
        <f>+IF(SUM($F377:L377)&gt;=M442*$F$9,0,M377)</f>
        <v>0</v>
      </c>
      <c r="N311" s="331">
        <f>+IF(SUM($F377:M377)&gt;=N442*$F$9,0,N377)</f>
        <v>0</v>
      </c>
      <c r="O311" s="331">
        <f>+IF(SUM($F377:N377)&gt;=O442*$F$9,0,O377)</f>
        <v>0</v>
      </c>
      <c r="P311" s="331">
        <f>+IF(SUM($F377:O377)&gt;=P442*$F$9,0,P377)</f>
        <v>0</v>
      </c>
      <c r="Q311" s="331">
        <f>+IF(SUM($F377:P377)&gt;=Q442*$F$9,0,Q377)</f>
        <v>0</v>
      </c>
      <c r="R311" s="331">
        <f>+IF(SUM($F377:Q377)&gt;=R442*$F$9,0,R377)</f>
        <v>0</v>
      </c>
      <c r="S311" s="331">
        <f>+IF(SUM($F377:R377)&gt;=S442*$F$9,0,S377)</f>
        <v>0</v>
      </c>
      <c r="T311" s="331">
        <f>+IF(SUM($F377:S377)&gt;=T442*$F$9,0,T377)</f>
        <v>0</v>
      </c>
      <c r="U311" s="331">
        <f>+IF(SUM($F377:T377)&gt;=U442*$F$9,0,U377)</f>
        <v>0</v>
      </c>
      <c r="V311" s="331">
        <f>+IF(SUM($F377:U377)&gt;=V442*$F$9,0,V377)</f>
        <v>0</v>
      </c>
      <c r="W311" s="331">
        <f>+IF(SUM($F377:V377)&gt;=W442*$F$9,0,W377)</f>
        <v>0</v>
      </c>
      <c r="X311" s="331">
        <f>+IF(SUM($F377:W377)&gt;=X442*$F$9,0,X377)</f>
        <v>0</v>
      </c>
      <c r="Y311" s="331">
        <f>+IF(SUM($F377:X377)&gt;=Y442*$F$9,0,Y377)</f>
        <v>0</v>
      </c>
      <c r="Z311" s="331">
        <f>+IF(SUM($F377:Y377)&gt;=Z442*$F$9,0,Z377)</f>
        <v>0</v>
      </c>
      <c r="AA311" s="331">
        <f>+IF(SUM($F377:Z377)&gt;=AA442*$F$9,0,AA377)</f>
        <v>0</v>
      </c>
      <c r="AB311" s="331">
        <f>+IF(SUM($F377:AA377)&gt;=AB442*$F$9,0,AB377)</f>
        <v>0</v>
      </c>
      <c r="AC311" s="331">
        <f>+IF(SUM($F377:AB377)&gt;=AC442*$F$9,0,AC377)</f>
        <v>0</v>
      </c>
      <c r="AD311" s="331">
        <f>+IF(SUM($F377:AC377)&gt;=AD442*$F$9,0,AD377)</f>
        <v>0</v>
      </c>
      <c r="AE311" s="331">
        <f>+IF(SUM($F377:AD377)&gt;=AE442*$F$9,0,AE377)</f>
        <v>0</v>
      </c>
      <c r="AF311" s="331">
        <f>+IF(SUM($F377:AE377)&gt;=AF442*$F$9,0,AF377)</f>
        <v>0</v>
      </c>
      <c r="AG311" s="331">
        <f>+IF(SUM($F377:AF377)&gt;=AG442*$F$9,0,AG377)</f>
        <v>0</v>
      </c>
      <c r="AH311" s="331">
        <f>+IF(SUM($F377:AG377)&gt;=AH442*$F$9,0,AH377)</f>
        <v>0</v>
      </c>
      <c r="AI311" s="331">
        <f>+IF(SUM($F377:AH377)&gt;=AI442*$F$9,0,AI377)</f>
        <v>0</v>
      </c>
      <c r="AJ311" s="331">
        <f>+IF(SUM($F377:AI377)&gt;=AJ442*$F$9,0,AJ377)</f>
        <v>0</v>
      </c>
      <c r="AK311" s="331">
        <f>+IF(SUM($F377:AJ377)&gt;=AK442*$F$9,0,AK377)</f>
        <v>0</v>
      </c>
      <c r="AL311" s="331">
        <f>+IF(SUM($F377:AK377)&gt;=AL442*$F$9,0,AL377)</f>
        <v>0</v>
      </c>
      <c r="AM311" s="331">
        <f>+IF(SUM($F377:AL377)&gt;=AM442*$F$9,0,AM377)</f>
        <v>0</v>
      </c>
      <c r="AN311" s="331">
        <f>+IF(SUM($F377:AM377)&gt;=AN442*$F$9,0,AN377)</f>
        <v>0</v>
      </c>
      <c r="AO311" s="331">
        <f>+IF(SUM($F377:AN377)&gt;=AO442*$F$9,0,AO377)</f>
        <v>0</v>
      </c>
      <c r="AP311" s="331">
        <f>+IF(SUM($F377:AO377)&gt;=AP442*$F$9,0,AP377)</f>
        <v>0</v>
      </c>
      <c r="AQ311" s="331">
        <f>+IF(SUM($F377:AP377)&gt;=AQ442*$F$9,0,AQ377)</f>
        <v>0</v>
      </c>
      <c r="AR311" s="331">
        <f>+IF(SUM($F377:AQ377)&gt;=AR442*$F$9,0,AR377)</f>
        <v>0</v>
      </c>
      <c r="AS311" s="331">
        <f>+IF(SUM($F377:AR377)&gt;=AS442*$F$9,0,AS377)</f>
        <v>0</v>
      </c>
      <c r="AT311" s="331">
        <f>+IF(SUM($F377:AS377)&gt;=AT442*$F$9,0,AT377)</f>
        <v>0</v>
      </c>
      <c r="AU311" s="331">
        <f>+IF(SUM($F377:AT377)&gt;=AU442*$F$9,0,AU377)</f>
        <v>0</v>
      </c>
      <c r="AV311" s="331">
        <f>+IF(SUM($F377:AU377)&gt;=AV442*$F$9,0,AV377)</f>
        <v>0</v>
      </c>
      <c r="AW311" s="331">
        <f>+IF(SUM($F377:AV377)&gt;=AW442*$F$9,0,AW377)</f>
        <v>0</v>
      </c>
      <c r="AX311" s="331">
        <f>+IF(SUM($F377:AW377)&gt;=AX442*$F$9,0,AX377)</f>
        <v>0</v>
      </c>
      <c r="AY311" s="331">
        <f>+IF(SUM($F377:AX377)&gt;=AY442*$F$9,0,AY377)</f>
        <v>0</v>
      </c>
      <c r="AZ311" s="331">
        <f>+IF(SUM($F377:AY377)&gt;=AZ442*$F$9,0,AZ377)</f>
        <v>0</v>
      </c>
      <c r="BA311" s="331">
        <f>+IF(SUM($F377:AZ377)&gt;=BA442*$F$9,0,BA377)</f>
        <v>0</v>
      </c>
      <c r="BB311" s="331">
        <f>+IF(SUM($F377:BA377)&gt;=BB442*$F$9,0,BB377)</f>
        <v>0</v>
      </c>
      <c r="BC311" s="331">
        <f>+IF(SUM($F377:BB377)&gt;=BC442*$F$9,0,BC377)</f>
        <v>0</v>
      </c>
      <c r="BD311" s="331">
        <f>+IF(SUM($F377:BC377)&gt;=BD442*$F$9,0,BD377)</f>
        <v>0</v>
      </c>
      <c r="BE311" s="331">
        <f>+IF(SUM($F377:BD377)&gt;=BE442*$F$9,0,BE377)</f>
        <v>0</v>
      </c>
      <c r="BF311" s="331">
        <f>+IF(SUM($F377:BE377)&gt;=BF442*$F$9,0,BF377)</f>
        <v>0</v>
      </c>
      <c r="BG311" s="331">
        <f>+IF(SUM($F377:BF377)&gt;=BG442*$F$9,0,BG377)</f>
        <v>0</v>
      </c>
      <c r="BH311" s="331">
        <f>+IF(SUM($F377:BG377)&gt;=BH442*$F$9,0,BH377)</f>
        <v>0</v>
      </c>
      <c r="BI311" s="331">
        <f>+IF(SUM($F377:BH377)&gt;=BI442*$F$9,0,BI377)</f>
        <v>0</v>
      </c>
      <c r="BJ311" s="331">
        <f>+IF(SUM($F377:BI377)&gt;=BJ442*$F$9,0,BJ377)</f>
        <v>0</v>
      </c>
      <c r="BK311" s="331">
        <f>+IF(SUM($F377:BJ377)&gt;=BK442*$F$9,0,BK377)</f>
        <v>0</v>
      </c>
      <c r="BL311" s="331">
        <f>+IF(SUM($F377:BK377)&gt;=BL442*$F$9,0,BL377)</f>
        <v>0</v>
      </c>
      <c r="BM311" s="331">
        <f>+IF(SUM($F377:BL377)&gt;=BM442*$F$9,0,BM377)</f>
        <v>0</v>
      </c>
    </row>
    <row r="312" spans="5:65" ht="15.75">
      <c r="E312" s="416">
        <f t="shared" si="193"/>
        <v>44644</v>
      </c>
      <c r="F312" s="331">
        <f t="shared" si="192"/>
        <v>0</v>
      </c>
      <c r="G312" s="331">
        <f>+IF(SUM($F378:F378)&gt;=G443*$F$9,0,G378)</f>
        <v>0</v>
      </c>
      <c r="H312" s="331">
        <f>+IF(SUM($F378:G378)&gt;=H443*$F$9,0,H378)</f>
        <v>0</v>
      </c>
      <c r="I312" s="331">
        <f>+IF(SUM($F378:H378)&gt;=I443*$F$9,0,I378)</f>
        <v>0</v>
      </c>
      <c r="J312" s="331">
        <f>+IF(SUM($F378:I378)&gt;=J443*$F$9,0,J378)</f>
        <v>0</v>
      </c>
      <c r="K312" s="331">
        <f>+IF(SUM($F378:J378)&gt;=K443*$F$9,0,K378)</f>
        <v>0</v>
      </c>
      <c r="L312" s="331">
        <f>+IF(SUM($F378:K378)&gt;=L443*$F$9,0,L378)</f>
        <v>0</v>
      </c>
      <c r="M312" s="331">
        <f>+IF(SUM($F378:L378)&gt;=M443*$F$9,0,M378)</f>
        <v>0</v>
      </c>
      <c r="N312" s="331">
        <f>+IF(SUM($F378:M378)&gt;=N443*$F$9,0,N378)</f>
        <v>0</v>
      </c>
      <c r="O312" s="331">
        <f>+IF(SUM($F378:N378)&gt;=O443*$F$9,0,O378)</f>
        <v>0</v>
      </c>
      <c r="P312" s="331">
        <f>+IF(SUM($F378:O378)&gt;=P443*$F$9,0,P378)</f>
        <v>0</v>
      </c>
      <c r="Q312" s="331">
        <f>+IF(SUM($F378:P378)&gt;=Q443*$F$9,0,Q378)</f>
        <v>0</v>
      </c>
      <c r="R312" s="331">
        <f>+IF(SUM($F378:Q378)&gt;=R443*$F$9,0,R378)</f>
        <v>0</v>
      </c>
      <c r="S312" s="331">
        <f>+IF(SUM($F378:R378)&gt;=S443*$F$9,0,S378)</f>
        <v>0</v>
      </c>
      <c r="T312" s="331">
        <f>+IF(SUM($F378:S378)&gt;=T443*$F$9,0,T378)</f>
        <v>0</v>
      </c>
      <c r="U312" s="331">
        <f>+IF(SUM($F378:T378)&gt;=U443*$F$9,0,U378)</f>
        <v>0</v>
      </c>
      <c r="V312" s="331">
        <f>+IF(SUM($F378:U378)&gt;=V443*$F$9,0,V378)</f>
        <v>0</v>
      </c>
      <c r="W312" s="331">
        <f>+IF(SUM($F378:V378)&gt;=W443*$F$9,0,W378)</f>
        <v>0</v>
      </c>
      <c r="X312" s="331">
        <f>+IF(SUM($F378:W378)&gt;=X443*$F$9,0,X378)</f>
        <v>0</v>
      </c>
      <c r="Y312" s="331">
        <f>+IF(SUM($F378:X378)&gt;=Y443*$F$9,0,Y378)</f>
        <v>0</v>
      </c>
      <c r="Z312" s="331">
        <f>+IF(SUM($F378:Y378)&gt;=Z443*$F$9,0,Z378)</f>
        <v>0</v>
      </c>
      <c r="AA312" s="331">
        <f>+IF(SUM($F378:Z378)&gt;=AA443*$F$9,0,AA378)</f>
        <v>0</v>
      </c>
      <c r="AB312" s="331">
        <f>+IF(SUM($F378:AA378)&gt;=AB443*$F$9,0,AB378)</f>
        <v>0</v>
      </c>
      <c r="AC312" s="331">
        <f>+IF(SUM($F378:AB378)&gt;=AC443*$F$9,0,AC378)</f>
        <v>0</v>
      </c>
      <c r="AD312" s="331">
        <f>+IF(SUM($F378:AC378)&gt;=AD443*$F$9,0,AD378)</f>
        <v>0</v>
      </c>
      <c r="AE312" s="331">
        <f>+IF(SUM($F378:AD378)&gt;=AE443*$F$9,0,AE378)</f>
        <v>0</v>
      </c>
      <c r="AF312" s="331">
        <f>+IF(SUM($F378:AE378)&gt;=AF443*$F$9,0,AF378)</f>
        <v>0</v>
      </c>
      <c r="AG312" s="331">
        <f>+IF(SUM($F378:AF378)&gt;=AG443*$F$9,0,AG378)</f>
        <v>0</v>
      </c>
      <c r="AH312" s="331">
        <f>+IF(SUM($F378:AG378)&gt;=AH443*$F$9,0,AH378)</f>
        <v>0</v>
      </c>
      <c r="AI312" s="331">
        <f>+IF(SUM($F378:AH378)&gt;=AI443*$F$9,0,AI378)</f>
        <v>0</v>
      </c>
      <c r="AJ312" s="331">
        <f>+IF(SUM($F378:AI378)&gt;=AJ443*$F$9,0,AJ378)</f>
        <v>0</v>
      </c>
      <c r="AK312" s="331">
        <f>+IF(SUM($F378:AJ378)&gt;=AK443*$F$9,0,AK378)</f>
        <v>0</v>
      </c>
      <c r="AL312" s="331">
        <f>+IF(SUM($F378:AK378)&gt;=AL443*$F$9,0,AL378)</f>
        <v>0</v>
      </c>
      <c r="AM312" s="331">
        <f>+IF(SUM($F378:AL378)&gt;=AM443*$F$9,0,AM378)</f>
        <v>0</v>
      </c>
      <c r="AN312" s="331">
        <f>+IF(SUM($F378:AM378)&gt;=AN443*$F$9,0,AN378)</f>
        <v>0</v>
      </c>
      <c r="AO312" s="331">
        <f>+IF(SUM($F378:AN378)&gt;=AO443*$F$9,0,AO378)</f>
        <v>0</v>
      </c>
      <c r="AP312" s="331">
        <f>+IF(SUM($F378:AO378)&gt;=AP443*$F$9,0,AP378)</f>
        <v>0</v>
      </c>
      <c r="AQ312" s="331">
        <f>+IF(SUM($F378:AP378)&gt;=AQ443*$F$9,0,AQ378)</f>
        <v>0</v>
      </c>
      <c r="AR312" s="331">
        <f>+IF(SUM($F378:AQ378)&gt;=AR443*$F$9,0,AR378)</f>
        <v>0</v>
      </c>
      <c r="AS312" s="331">
        <f>+IF(SUM($F378:AR378)&gt;=AS443*$F$9,0,AS378)</f>
        <v>0</v>
      </c>
      <c r="AT312" s="331">
        <f>+IF(SUM($F378:AS378)&gt;=AT443*$F$9,0,AT378)</f>
        <v>0</v>
      </c>
      <c r="AU312" s="331">
        <f>+IF(SUM($F378:AT378)&gt;=AU443*$F$9,0,AU378)</f>
        <v>0</v>
      </c>
      <c r="AV312" s="331">
        <f>+IF(SUM($F378:AU378)&gt;=AV443*$F$9,0,AV378)</f>
        <v>0</v>
      </c>
      <c r="AW312" s="331">
        <f>+IF(SUM($F378:AV378)&gt;=AW443*$F$9,0,AW378)</f>
        <v>0</v>
      </c>
      <c r="AX312" s="331">
        <f>+IF(SUM($F378:AW378)&gt;=AX443*$F$9,0,AX378)</f>
        <v>0</v>
      </c>
      <c r="AY312" s="331">
        <f>+IF(SUM($F378:AX378)&gt;=AY443*$F$9,0,AY378)</f>
        <v>0</v>
      </c>
      <c r="AZ312" s="331">
        <f>+IF(SUM($F378:AY378)&gt;=AZ443*$F$9,0,AZ378)</f>
        <v>0</v>
      </c>
      <c r="BA312" s="331">
        <f>+IF(SUM($F378:AZ378)&gt;=BA443*$F$9,0,BA378)</f>
        <v>0</v>
      </c>
      <c r="BB312" s="331">
        <f>+IF(SUM($F378:BA378)&gt;=BB443*$F$9,0,BB378)</f>
        <v>0</v>
      </c>
      <c r="BC312" s="331">
        <f>+IF(SUM($F378:BB378)&gt;=BC443*$F$9,0,BC378)</f>
        <v>0</v>
      </c>
      <c r="BD312" s="331">
        <f>+IF(SUM($F378:BC378)&gt;=BD443*$F$9,0,BD378)</f>
        <v>0</v>
      </c>
      <c r="BE312" s="331">
        <f>+IF(SUM($F378:BD378)&gt;=BE443*$F$9,0,BE378)</f>
        <v>0</v>
      </c>
      <c r="BF312" s="331">
        <f>+IF(SUM($F378:BE378)&gt;=BF443*$F$9,0,BF378)</f>
        <v>0</v>
      </c>
      <c r="BG312" s="331">
        <f>+IF(SUM($F378:BF378)&gt;=BG443*$F$9,0,BG378)</f>
        <v>0</v>
      </c>
      <c r="BH312" s="331">
        <f>+IF(SUM($F378:BG378)&gt;=BH443*$F$9,0,BH378)</f>
        <v>0</v>
      </c>
      <c r="BI312" s="331">
        <f>+IF(SUM($F378:BH378)&gt;=BI443*$F$9,0,BI378)</f>
        <v>0</v>
      </c>
      <c r="BJ312" s="331">
        <f>+IF(SUM($F378:BI378)&gt;=BJ443*$F$9,0,BJ378)</f>
        <v>0</v>
      </c>
      <c r="BK312" s="331">
        <f>+IF(SUM($F378:BJ378)&gt;=BK443*$F$9,0,BK378)</f>
        <v>0</v>
      </c>
      <c r="BL312" s="331">
        <f>+IF(SUM($F378:BK378)&gt;=BL443*$F$9,0,BL378)</f>
        <v>0</v>
      </c>
      <c r="BM312" s="331">
        <f>+IF(SUM($F378:BL378)&gt;=BM443*$F$9,0,BM378)</f>
        <v>0</v>
      </c>
    </row>
    <row r="313" spans="5:65" ht="15.75">
      <c r="E313" s="416">
        <f t="shared" si="193"/>
        <v>44675</v>
      </c>
      <c r="F313" s="331">
        <f t="shared" si="192"/>
        <v>0</v>
      </c>
      <c r="G313" s="331">
        <f>+IF(SUM($F379:F379)&gt;=G444*$F$9,0,G379)</f>
        <v>0</v>
      </c>
      <c r="H313" s="331">
        <f>+IF(SUM($F379:G379)&gt;=H444*$F$9,0,H379)</f>
        <v>0</v>
      </c>
      <c r="I313" s="331">
        <f>+IF(SUM($F379:H379)&gt;=I444*$F$9,0,I379)</f>
        <v>0</v>
      </c>
      <c r="J313" s="331">
        <f>+IF(SUM($F379:I379)&gt;=J444*$F$9,0,J379)</f>
        <v>0</v>
      </c>
      <c r="K313" s="331">
        <f>+IF(SUM($F379:J379)&gt;=K444*$F$9,0,K379)</f>
        <v>0</v>
      </c>
      <c r="L313" s="331">
        <f>+IF(SUM($F379:K379)&gt;=L444*$F$9,0,L379)</f>
        <v>0</v>
      </c>
      <c r="M313" s="331">
        <f>+IF(SUM($F379:L379)&gt;=M444*$F$9,0,M379)</f>
        <v>0</v>
      </c>
      <c r="N313" s="331">
        <f>+IF(SUM($F379:M379)&gt;=N444*$F$9,0,N379)</f>
        <v>0</v>
      </c>
      <c r="O313" s="331">
        <f>+IF(SUM($F379:N379)&gt;=O444*$F$9,0,O379)</f>
        <v>0</v>
      </c>
      <c r="P313" s="331">
        <f>+IF(SUM($F379:O379)&gt;=P444*$F$9,0,P379)</f>
        <v>0</v>
      </c>
      <c r="Q313" s="331">
        <f>+IF(SUM($F379:P379)&gt;=Q444*$F$9,0,Q379)</f>
        <v>0</v>
      </c>
      <c r="R313" s="331">
        <f>+IF(SUM($F379:Q379)&gt;=R444*$F$9,0,R379)</f>
        <v>0</v>
      </c>
      <c r="S313" s="331">
        <f>+IF(SUM($F379:R379)&gt;=S444*$F$9,0,S379)</f>
        <v>0</v>
      </c>
      <c r="T313" s="331">
        <f>+IF(SUM($F379:S379)&gt;=T444*$F$9,0,T379)</f>
        <v>0</v>
      </c>
      <c r="U313" s="331">
        <f>+IF(SUM($F379:T379)&gt;=U444*$F$9,0,U379)</f>
        <v>0</v>
      </c>
      <c r="V313" s="331">
        <f>+IF(SUM($F379:U379)&gt;=V444*$F$9,0,V379)</f>
        <v>0</v>
      </c>
      <c r="W313" s="331">
        <f>+IF(SUM($F379:V379)&gt;=W444*$F$9,0,W379)</f>
        <v>0</v>
      </c>
      <c r="X313" s="331">
        <f>+IF(SUM($F379:W379)&gt;=X444*$F$9,0,X379)</f>
        <v>0</v>
      </c>
      <c r="Y313" s="331">
        <f>+IF(SUM($F379:X379)&gt;=Y444*$F$9,0,Y379)</f>
        <v>0</v>
      </c>
      <c r="Z313" s="331">
        <f>+IF(SUM($F379:Y379)&gt;=Z444*$F$9,0,Z379)</f>
        <v>0</v>
      </c>
      <c r="AA313" s="331">
        <f>+IF(SUM($F379:Z379)&gt;=AA444*$F$9,0,AA379)</f>
        <v>0</v>
      </c>
      <c r="AB313" s="331">
        <f>+IF(SUM($F379:AA379)&gt;=AB444*$F$9,0,AB379)</f>
        <v>0</v>
      </c>
      <c r="AC313" s="331">
        <f>+IF(SUM($F379:AB379)&gt;=AC444*$F$9,0,AC379)</f>
        <v>0</v>
      </c>
      <c r="AD313" s="331">
        <f>+IF(SUM($F379:AC379)&gt;=AD444*$F$9,0,AD379)</f>
        <v>0</v>
      </c>
      <c r="AE313" s="331">
        <f>+IF(SUM($F379:AD379)&gt;=AE444*$F$9,0,AE379)</f>
        <v>0</v>
      </c>
      <c r="AF313" s="331">
        <f>+IF(SUM($F379:AE379)&gt;=AF444*$F$9,0,AF379)</f>
        <v>0</v>
      </c>
      <c r="AG313" s="331">
        <f>+IF(SUM($F379:AF379)&gt;=AG444*$F$9,0,AG379)</f>
        <v>0</v>
      </c>
      <c r="AH313" s="331">
        <f>+IF(SUM($F379:AG379)&gt;=AH444*$F$9,0,AH379)</f>
        <v>0</v>
      </c>
      <c r="AI313" s="331">
        <f>+IF(SUM($F379:AH379)&gt;=AI444*$F$9,0,AI379)</f>
        <v>0</v>
      </c>
      <c r="AJ313" s="331">
        <f>+IF(SUM($F379:AI379)&gt;=AJ444*$F$9,0,AJ379)</f>
        <v>0</v>
      </c>
      <c r="AK313" s="331">
        <f>+IF(SUM($F379:AJ379)&gt;=AK444*$F$9,0,AK379)</f>
        <v>0</v>
      </c>
      <c r="AL313" s="331">
        <f>+IF(SUM($F379:AK379)&gt;=AL444*$F$9,0,AL379)</f>
        <v>0</v>
      </c>
      <c r="AM313" s="331">
        <f>+IF(SUM($F379:AL379)&gt;=AM444*$F$9,0,AM379)</f>
        <v>0</v>
      </c>
      <c r="AN313" s="331">
        <f>+IF(SUM($F379:AM379)&gt;=AN444*$F$9,0,AN379)</f>
        <v>0</v>
      </c>
      <c r="AO313" s="331">
        <f>+IF(SUM($F379:AN379)&gt;=AO444*$F$9,0,AO379)</f>
        <v>0</v>
      </c>
      <c r="AP313" s="331">
        <f>+IF(SUM($F379:AO379)&gt;=AP444*$F$9,0,AP379)</f>
        <v>0</v>
      </c>
      <c r="AQ313" s="331">
        <f>+IF(SUM($F379:AP379)&gt;=AQ444*$F$9,0,AQ379)</f>
        <v>0</v>
      </c>
      <c r="AR313" s="331">
        <f>+IF(SUM($F379:AQ379)&gt;=AR444*$F$9,0,AR379)</f>
        <v>0</v>
      </c>
      <c r="AS313" s="331">
        <f>+IF(SUM($F379:AR379)&gt;=AS444*$F$9,0,AS379)</f>
        <v>0</v>
      </c>
      <c r="AT313" s="331">
        <f>+IF(SUM($F379:AS379)&gt;=AT444*$F$9,0,AT379)</f>
        <v>0</v>
      </c>
      <c r="AU313" s="331">
        <f>+IF(SUM($F379:AT379)&gt;=AU444*$F$9,0,AU379)</f>
        <v>0</v>
      </c>
      <c r="AV313" s="331">
        <f>+IF(SUM($F379:AU379)&gt;=AV444*$F$9,0,AV379)</f>
        <v>0</v>
      </c>
      <c r="AW313" s="331">
        <f>+IF(SUM($F379:AV379)&gt;=AW444*$F$9,0,AW379)</f>
        <v>0</v>
      </c>
      <c r="AX313" s="331">
        <f>+IF(SUM($F379:AW379)&gt;=AX444*$F$9,0,AX379)</f>
        <v>0</v>
      </c>
      <c r="AY313" s="331">
        <f>+IF(SUM($F379:AX379)&gt;=AY444*$F$9,0,AY379)</f>
        <v>0</v>
      </c>
      <c r="AZ313" s="331">
        <f>+IF(SUM($F379:AY379)&gt;=AZ444*$F$9,0,AZ379)</f>
        <v>0</v>
      </c>
      <c r="BA313" s="331">
        <f>+IF(SUM($F379:AZ379)&gt;=BA444*$F$9,0,BA379)</f>
        <v>0</v>
      </c>
      <c r="BB313" s="331">
        <f>+IF(SUM($F379:BA379)&gt;=BB444*$F$9,0,BB379)</f>
        <v>0</v>
      </c>
      <c r="BC313" s="331">
        <f>+IF(SUM($F379:BB379)&gt;=BC444*$F$9,0,BC379)</f>
        <v>0</v>
      </c>
      <c r="BD313" s="331">
        <f>+IF(SUM($F379:BC379)&gt;=BD444*$F$9,0,BD379)</f>
        <v>0</v>
      </c>
      <c r="BE313" s="331">
        <f>+IF(SUM($F379:BD379)&gt;=BE444*$F$9,0,BE379)</f>
        <v>0</v>
      </c>
      <c r="BF313" s="331">
        <f>+IF(SUM($F379:BE379)&gt;=BF444*$F$9,0,BF379)</f>
        <v>0</v>
      </c>
      <c r="BG313" s="331">
        <f>+IF(SUM($F379:BF379)&gt;=BG444*$F$9,0,BG379)</f>
        <v>0</v>
      </c>
      <c r="BH313" s="331">
        <f>+IF(SUM($F379:BG379)&gt;=BH444*$F$9,0,BH379)</f>
        <v>0</v>
      </c>
      <c r="BI313" s="331">
        <f>+IF(SUM($F379:BH379)&gt;=BI444*$F$9,0,BI379)</f>
        <v>0</v>
      </c>
      <c r="BJ313" s="331">
        <f>+IF(SUM($F379:BI379)&gt;=BJ444*$F$9,0,BJ379)</f>
        <v>0</v>
      </c>
      <c r="BK313" s="331">
        <f>+IF(SUM($F379:BJ379)&gt;=BK444*$F$9,0,BK379)</f>
        <v>0</v>
      </c>
      <c r="BL313" s="331">
        <f>+IF(SUM($F379:BK379)&gt;=BL444*$F$9,0,BL379)</f>
        <v>0</v>
      </c>
      <c r="BM313" s="331">
        <f>+IF(SUM($F379:BL379)&gt;=BM444*$F$9,0,BM379)</f>
        <v>0</v>
      </c>
    </row>
    <row r="314" spans="5:65" ht="15.75">
      <c r="E314" s="416">
        <f t="shared" si="193"/>
        <v>44706</v>
      </c>
      <c r="F314" s="331">
        <f t="shared" si="192"/>
        <v>0</v>
      </c>
      <c r="G314" s="331">
        <f>+IF(SUM($F380:F380)&gt;=G445*$F$9,0,G380)</f>
        <v>0</v>
      </c>
      <c r="H314" s="331">
        <f>+IF(SUM($F380:G380)&gt;=H445*$F$9,0,H380)</f>
        <v>0</v>
      </c>
      <c r="I314" s="331">
        <f>+IF(SUM($F380:H380)&gt;=I445*$F$9,0,I380)</f>
        <v>0</v>
      </c>
      <c r="J314" s="331">
        <f>+IF(SUM($F380:I380)&gt;=J445*$F$9,0,J380)</f>
        <v>0</v>
      </c>
      <c r="K314" s="331">
        <f>+IF(SUM($F380:J380)&gt;=K445*$F$9,0,K380)</f>
        <v>0</v>
      </c>
      <c r="L314" s="331">
        <f>+IF(SUM($F380:K380)&gt;=L445*$F$9,0,L380)</f>
        <v>0</v>
      </c>
      <c r="M314" s="331">
        <f>+IF(SUM($F380:L380)&gt;=M445*$F$9,0,M380)</f>
        <v>0</v>
      </c>
      <c r="N314" s="331">
        <f>+IF(SUM($F380:M380)&gt;=N445*$F$9,0,N380)</f>
        <v>0</v>
      </c>
      <c r="O314" s="331">
        <f>+IF(SUM($F380:N380)&gt;=O445*$F$9,0,O380)</f>
        <v>0</v>
      </c>
      <c r="P314" s="331">
        <f>+IF(SUM($F380:O380)&gt;=P445*$F$9,0,P380)</f>
        <v>0</v>
      </c>
      <c r="Q314" s="331">
        <f>+IF(SUM($F380:P380)&gt;=Q445*$F$9,0,Q380)</f>
        <v>0</v>
      </c>
      <c r="R314" s="331">
        <f>+IF(SUM($F380:Q380)&gt;=R445*$F$9,0,R380)</f>
        <v>0</v>
      </c>
      <c r="S314" s="331">
        <f>+IF(SUM($F380:R380)&gt;=S445*$F$9,0,S380)</f>
        <v>0</v>
      </c>
      <c r="T314" s="331">
        <f>+IF(SUM($F380:S380)&gt;=T445*$F$9,0,T380)</f>
        <v>0</v>
      </c>
      <c r="U314" s="331">
        <f>+IF(SUM($F380:T380)&gt;=U445*$F$9,0,U380)</f>
        <v>0</v>
      </c>
      <c r="V314" s="331">
        <f>+IF(SUM($F380:U380)&gt;=V445*$F$9,0,V380)</f>
        <v>0</v>
      </c>
      <c r="W314" s="331">
        <f>+IF(SUM($F380:V380)&gt;=W445*$F$9,0,W380)</f>
        <v>0</v>
      </c>
      <c r="X314" s="331">
        <f>+IF(SUM($F380:W380)&gt;=X445*$F$9,0,X380)</f>
        <v>0</v>
      </c>
      <c r="Y314" s="331">
        <f>+IF(SUM($F380:X380)&gt;=Y445*$F$9,0,Y380)</f>
        <v>0</v>
      </c>
      <c r="Z314" s="331">
        <f>+IF(SUM($F380:Y380)&gt;=Z445*$F$9,0,Z380)</f>
        <v>0</v>
      </c>
      <c r="AA314" s="331">
        <f>+IF(SUM($F380:Z380)&gt;=AA445*$F$9,0,AA380)</f>
        <v>0</v>
      </c>
      <c r="AB314" s="331">
        <f>+IF(SUM($F380:AA380)&gt;=AB445*$F$9,0,AB380)</f>
        <v>0</v>
      </c>
      <c r="AC314" s="331">
        <f>+IF(SUM($F380:AB380)&gt;=AC445*$F$9,0,AC380)</f>
        <v>0</v>
      </c>
      <c r="AD314" s="331">
        <f>+IF(SUM($F380:AC380)&gt;=AD445*$F$9,0,AD380)</f>
        <v>0</v>
      </c>
      <c r="AE314" s="331">
        <f>+IF(SUM($F380:AD380)&gt;=AE445*$F$9,0,AE380)</f>
        <v>0</v>
      </c>
      <c r="AF314" s="331">
        <f>+IF(SUM($F380:AE380)&gt;=AF445*$F$9,0,AF380)</f>
        <v>0</v>
      </c>
      <c r="AG314" s="331">
        <f>+IF(SUM($F380:AF380)&gt;=AG445*$F$9,0,AG380)</f>
        <v>0</v>
      </c>
      <c r="AH314" s="331">
        <f>+IF(SUM($F380:AG380)&gt;=AH445*$F$9,0,AH380)</f>
        <v>0</v>
      </c>
      <c r="AI314" s="331">
        <f>+IF(SUM($F380:AH380)&gt;=AI445*$F$9,0,AI380)</f>
        <v>0</v>
      </c>
      <c r="AJ314" s="331">
        <f>+IF(SUM($F380:AI380)&gt;=AJ445*$F$9,0,AJ380)</f>
        <v>0</v>
      </c>
      <c r="AK314" s="331">
        <f>+IF(SUM($F380:AJ380)&gt;=AK445*$F$9,0,AK380)</f>
        <v>0</v>
      </c>
      <c r="AL314" s="331">
        <f>+IF(SUM($F380:AK380)&gt;=AL445*$F$9,0,AL380)</f>
        <v>0</v>
      </c>
      <c r="AM314" s="331">
        <f>+IF(SUM($F380:AL380)&gt;=AM445*$F$9,0,AM380)</f>
        <v>0</v>
      </c>
      <c r="AN314" s="331">
        <f>+IF(SUM($F380:AM380)&gt;=AN445*$F$9,0,AN380)</f>
        <v>0</v>
      </c>
      <c r="AO314" s="331">
        <f>+IF(SUM($F380:AN380)&gt;=AO445*$F$9,0,AO380)</f>
        <v>0</v>
      </c>
      <c r="AP314" s="331">
        <f>+IF(SUM($F380:AO380)&gt;=AP445*$F$9,0,AP380)</f>
        <v>0</v>
      </c>
      <c r="AQ314" s="331">
        <f>+IF(SUM($F380:AP380)&gt;=AQ445*$F$9,0,AQ380)</f>
        <v>0</v>
      </c>
      <c r="AR314" s="331">
        <f>+IF(SUM($F380:AQ380)&gt;=AR445*$F$9,0,AR380)</f>
        <v>0</v>
      </c>
      <c r="AS314" s="331">
        <f>+IF(SUM($F380:AR380)&gt;=AS445*$F$9,0,AS380)</f>
        <v>0</v>
      </c>
      <c r="AT314" s="331">
        <f>+IF(SUM($F380:AS380)&gt;=AT445*$F$9,0,AT380)</f>
        <v>0</v>
      </c>
      <c r="AU314" s="331">
        <f>+IF(SUM($F380:AT380)&gt;=AU445*$F$9,0,AU380)</f>
        <v>0</v>
      </c>
      <c r="AV314" s="331">
        <f>+IF(SUM($F380:AU380)&gt;=AV445*$F$9,0,AV380)</f>
        <v>0</v>
      </c>
      <c r="AW314" s="331">
        <f>+IF(SUM($F380:AV380)&gt;=AW445*$F$9,0,AW380)</f>
        <v>0</v>
      </c>
      <c r="AX314" s="331">
        <f>+IF(SUM($F380:AW380)&gt;=AX445*$F$9,0,AX380)</f>
        <v>0</v>
      </c>
      <c r="AY314" s="331">
        <f>+IF(SUM($F380:AX380)&gt;=AY445*$F$9,0,AY380)</f>
        <v>0</v>
      </c>
      <c r="AZ314" s="331">
        <f>+IF(SUM($F380:AY380)&gt;=AZ445*$F$9,0,AZ380)</f>
        <v>0</v>
      </c>
      <c r="BA314" s="331">
        <f>+IF(SUM($F380:AZ380)&gt;=BA445*$F$9,0,BA380)</f>
        <v>0</v>
      </c>
      <c r="BB314" s="331">
        <f>+IF(SUM($F380:BA380)&gt;=BB445*$F$9,0,BB380)</f>
        <v>0</v>
      </c>
      <c r="BC314" s="331">
        <f>+IF(SUM($F380:BB380)&gt;=BC445*$F$9,0,BC380)</f>
        <v>0</v>
      </c>
      <c r="BD314" s="331">
        <f>+IF(SUM($F380:BC380)&gt;=BD445*$F$9,0,BD380)</f>
        <v>0</v>
      </c>
      <c r="BE314" s="331">
        <f>+IF(SUM($F380:BD380)&gt;=BE445*$F$9,0,BE380)</f>
        <v>0</v>
      </c>
      <c r="BF314" s="331">
        <f>+IF(SUM($F380:BE380)&gt;=BF445*$F$9,0,BF380)</f>
        <v>0</v>
      </c>
      <c r="BG314" s="331">
        <f>+IF(SUM($F380:BF380)&gt;=BG445*$F$9,0,BG380)</f>
        <v>0</v>
      </c>
      <c r="BH314" s="331">
        <f>+IF(SUM($F380:BG380)&gt;=BH445*$F$9,0,BH380)</f>
        <v>0</v>
      </c>
      <c r="BI314" s="331">
        <f>+IF(SUM($F380:BH380)&gt;=BI445*$F$9,0,BI380)</f>
        <v>0</v>
      </c>
      <c r="BJ314" s="331">
        <f>+IF(SUM($F380:BI380)&gt;=BJ445*$F$9,0,BJ380)</f>
        <v>0</v>
      </c>
      <c r="BK314" s="331">
        <f>+IF(SUM($F380:BJ380)&gt;=BK445*$F$9,0,BK380)</f>
        <v>0</v>
      </c>
      <c r="BL314" s="331">
        <f>+IF(SUM($F380:BK380)&gt;=BL445*$F$9,0,BL380)</f>
        <v>0</v>
      </c>
      <c r="BM314" s="331">
        <f>+IF(SUM($F380:BL380)&gt;=BM445*$F$9,0,BM380)</f>
        <v>0</v>
      </c>
    </row>
    <row r="315" spans="5:65" ht="15.75">
      <c r="E315" s="416">
        <f t="shared" si="193"/>
        <v>44737</v>
      </c>
      <c r="F315" s="331">
        <f t="shared" si="192"/>
        <v>0</v>
      </c>
      <c r="G315" s="331">
        <f>+IF(SUM($F381:F381)&gt;=G446*$F$9,0,G381)</f>
        <v>0</v>
      </c>
      <c r="H315" s="331">
        <f>+IF(SUM($F381:G381)&gt;=H446*$F$9,0,H381)</f>
        <v>0</v>
      </c>
      <c r="I315" s="331">
        <f>+IF(SUM($F381:H381)&gt;=I446*$F$9,0,I381)</f>
        <v>0</v>
      </c>
      <c r="J315" s="331">
        <f>+IF(SUM($F381:I381)&gt;=J446*$F$9,0,J381)</f>
        <v>0</v>
      </c>
      <c r="K315" s="331">
        <f>+IF(SUM($F381:J381)&gt;=K446*$F$9,0,K381)</f>
        <v>0</v>
      </c>
      <c r="L315" s="331">
        <f>+IF(SUM($F381:K381)&gt;=L446*$F$9,0,L381)</f>
        <v>0</v>
      </c>
      <c r="M315" s="331">
        <f>+IF(SUM($F381:L381)&gt;=M446*$F$9,0,M381)</f>
        <v>0</v>
      </c>
      <c r="N315" s="331">
        <f>+IF(SUM($F381:M381)&gt;=N446*$F$9,0,N381)</f>
        <v>0</v>
      </c>
      <c r="O315" s="331">
        <f>+IF(SUM($F381:N381)&gt;=O446*$F$9,0,O381)</f>
        <v>0</v>
      </c>
      <c r="P315" s="331">
        <f>+IF(SUM($F381:O381)&gt;=P446*$F$9,0,P381)</f>
        <v>0</v>
      </c>
      <c r="Q315" s="331">
        <f>+IF(SUM($F381:P381)&gt;=Q446*$F$9,0,Q381)</f>
        <v>0</v>
      </c>
      <c r="R315" s="331">
        <f>+IF(SUM($F381:Q381)&gt;=R446*$F$9,0,R381)</f>
        <v>0</v>
      </c>
      <c r="S315" s="331">
        <f>+IF(SUM($F381:R381)&gt;=S446*$F$9,0,S381)</f>
        <v>0</v>
      </c>
      <c r="T315" s="331">
        <f>+IF(SUM($F381:S381)&gt;=T446*$F$9,0,T381)</f>
        <v>0</v>
      </c>
      <c r="U315" s="331">
        <f>+IF(SUM($F381:T381)&gt;=U446*$F$9,0,U381)</f>
        <v>0</v>
      </c>
      <c r="V315" s="331">
        <f>+IF(SUM($F381:U381)&gt;=V446*$F$9,0,V381)</f>
        <v>0</v>
      </c>
      <c r="W315" s="331">
        <f>+IF(SUM($F381:V381)&gt;=W446*$F$9,0,W381)</f>
        <v>0</v>
      </c>
      <c r="X315" s="331">
        <f>+IF(SUM($F381:W381)&gt;=X446*$F$9,0,X381)</f>
        <v>0</v>
      </c>
      <c r="Y315" s="331">
        <f>+IF(SUM($F381:X381)&gt;=Y446*$F$9,0,Y381)</f>
        <v>0</v>
      </c>
      <c r="Z315" s="331">
        <f>+IF(SUM($F381:Y381)&gt;=Z446*$F$9,0,Z381)</f>
        <v>0</v>
      </c>
      <c r="AA315" s="331">
        <f>+IF(SUM($F381:Z381)&gt;=AA446*$F$9,0,AA381)</f>
        <v>0</v>
      </c>
      <c r="AB315" s="331">
        <f>+IF(SUM($F381:AA381)&gt;=AB446*$F$9,0,AB381)</f>
        <v>0</v>
      </c>
      <c r="AC315" s="331">
        <f>+IF(SUM($F381:AB381)&gt;=AC446*$F$9,0,AC381)</f>
        <v>0</v>
      </c>
      <c r="AD315" s="331">
        <f>+IF(SUM($F381:AC381)&gt;=AD446*$F$9,0,AD381)</f>
        <v>0</v>
      </c>
      <c r="AE315" s="331">
        <f>+IF(SUM($F381:AD381)&gt;=AE446*$F$9,0,AE381)</f>
        <v>0</v>
      </c>
      <c r="AF315" s="331">
        <f>+IF(SUM($F381:AE381)&gt;=AF446*$F$9,0,AF381)</f>
        <v>0</v>
      </c>
      <c r="AG315" s="331">
        <f>+IF(SUM($F381:AF381)&gt;=AG446*$F$9,0,AG381)</f>
        <v>0</v>
      </c>
      <c r="AH315" s="331">
        <f>+IF(SUM($F381:AG381)&gt;=AH446*$F$9,0,AH381)</f>
        <v>0</v>
      </c>
      <c r="AI315" s="331">
        <f>+IF(SUM($F381:AH381)&gt;=AI446*$F$9,0,AI381)</f>
        <v>0</v>
      </c>
      <c r="AJ315" s="331">
        <f>+IF(SUM($F381:AI381)&gt;=AJ446*$F$9,0,AJ381)</f>
        <v>0</v>
      </c>
      <c r="AK315" s="331">
        <f>+IF(SUM($F381:AJ381)&gt;=AK446*$F$9,0,AK381)</f>
        <v>0</v>
      </c>
      <c r="AL315" s="331">
        <f>+IF(SUM($F381:AK381)&gt;=AL446*$F$9,0,AL381)</f>
        <v>0</v>
      </c>
      <c r="AM315" s="331">
        <f>+IF(SUM($F381:AL381)&gt;=AM446*$F$9,0,AM381)</f>
        <v>0</v>
      </c>
      <c r="AN315" s="331">
        <f>+IF(SUM($F381:AM381)&gt;=AN446*$F$9,0,AN381)</f>
        <v>0</v>
      </c>
      <c r="AO315" s="331">
        <f>+IF(SUM($F381:AN381)&gt;=AO446*$F$9,0,AO381)</f>
        <v>0</v>
      </c>
      <c r="AP315" s="331">
        <f>+IF(SUM($F381:AO381)&gt;=AP446*$F$9,0,AP381)</f>
        <v>0</v>
      </c>
      <c r="AQ315" s="331">
        <f>+IF(SUM($F381:AP381)&gt;=AQ446*$F$9,0,AQ381)</f>
        <v>0</v>
      </c>
      <c r="AR315" s="331">
        <f>+IF(SUM($F381:AQ381)&gt;=AR446*$F$9,0,AR381)</f>
        <v>0</v>
      </c>
      <c r="AS315" s="331">
        <f>+IF(SUM($F381:AR381)&gt;=AS446*$F$9,0,AS381)</f>
        <v>0</v>
      </c>
      <c r="AT315" s="331">
        <f>+IF(SUM($F381:AS381)&gt;=AT446*$F$9,0,AT381)</f>
        <v>0</v>
      </c>
      <c r="AU315" s="331">
        <f>+IF(SUM($F381:AT381)&gt;=AU446*$F$9,0,AU381)</f>
        <v>0</v>
      </c>
      <c r="AV315" s="331">
        <f>+IF(SUM($F381:AU381)&gt;=AV446*$F$9,0,AV381)</f>
        <v>0</v>
      </c>
      <c r="AW315" s="331">
        <f>+IF(SUM($F381:AV381)&gt;=AW446*$F$9,0,AW381)</f>
        <v>0</v>
      </c>
      <c r="AX315" s="331">
        <f>+IF(SUM($F381:AW381)&gt;=AX446*$F$9,0,AX381)</f>
        <v>0</v>
      </c>
      <c r="AY315" s="331">
        <f>+IF(SUM($F381:AX381)&gt;=AY446*$F$9,0,AY381)</f>
        <v>0</v>
      </c>
      <c r="AZ315" s="331">
        <f>+IF(SUM($F381:AY381)&gt;=AZ446*$F$9,0,AZ381)</f>
        <v>0</v>
      </c>
      <c r="BA315" s="331">
        <f>+IF(SUM($F381:AZ381)&gt;=BA446*$F$9,0,BA381)</f>
        <v>0</v>
      </c>
      <c r="BB315" s="331">
        <f>+IF(SUM($F381:BA381)&gt;=BB446*$F$9,0,BB381)</f>
        <v>0</v>
      </c>
      <c r="BC315" s="331">
        <f>+IF(SUM($F381:BB381)&gt;=BC446*$F$9,0,BC381)</f>
        <v>0</v>
      </c>
      <c r="BD315" s="331">
        <f>+IF(SUM($F381:BC381)&gt;=BD446*$F$9,0,BD381)</f>
        <v>0</v>
      </c>
      <c r="BE315" s="331">
        <f>+IF(SUM($F381:BD381)&gt;=BE446*$F$9,0,BE381)</f>
        <v>0</v>
      </c>
      <c r="BF315" s="331">
        <f>+IF(SUM($F381:BE381)&gt;=BF446*$F$9,0,BF381)</f>
        <v>0</v>
      </c>
      <c r="BG315" s="331">
        <f>+IF(SUM($F381:BF381)&gt;=BG446*$F$9,0,BG381)</f>
        <v>0</v>
      </c>
      <c r="BH315" s="331">
        <f>+IF(SUM($F381:BG381)&gt;=BH446*$F$9,0,BH381)</f>
        <v>0</v>
      </c>
      <c r="BI315" s="331">
        <f>+IF(SUM($F381:BH381)&gt;=BI446*$F$9,0,BI381)</f>
        <v>0</v>
      </c>
      <c r="BJ315" s="331">
        <f>+IF(SUM($F381:BI381)&gt;=BJ446*$F$9,0,BJ381)</f>
        <v>0</v>
      </c>
      <c r="BK315" s="331">
        <f>+IF(SUM($F381:BJ381)&gt;=BK446*$F$9,0,BK381)</f>
        <v>0</v>
      </c>
      <c r="BL315" s="331">
        <f>+IF(SUM($F381:BK381)&gt;=BL446*$F$9,0,BL381)</f>
        <v>0</v>
      </c>
      <c r="BM315" s="331">
        <f>+IF(SUM($F381:BL381)&gt;=BM446*$F$9,0,BM381)</f>
        <v>0</v>
      </c>
    </row>
    <row r="316" spans="5:65" ht="15.75">
      <c r="E316" s="416">
        <f t="shared" si="193"/>
        <v>44768</v>
      </c>
      <c r="F316" s="331">
        <f t="shared" si="192"/>
        <v>0</v>
      </c>
      <c r="G316" s="331">
        <f>+IF(SUM($F382:F382)&gt;=G447*$F$9,0,G382)</f>
        <v>0</v>
      </c>
      <c r="H316" s="331">
        <f>+IF(SUM($F382:G382)&gt;=H447*$F$9,0,H382)</f>
        <v>0</v>
      </c>
      <c r="I316" s="331">
        <f>+IF(SUM($F382:H382)&gt;=I447*$F$9,0,I382)</f>
        <v>0</v>
      </c>
      <c r="J316" s="331">
        <f>+IF(SUM($F382:I382)&gt;=J447*$F$9,0,J382)</f>
        <v>0</v>
      </c>
      <c r="K316" s="331">
        <f>+IF(SUM($F382:J382)&gt;=K447*$F$9,0,K382)</f>
        <v>0</v>
      </c>
      <c r="L316" s="331">
        <f>+IF(SUM($F382:K382)&gt;=L447*$F$9,0,L382)</f>
        <v>0</v>
      </c>
      <c r="M316" s="331">
        <f>+IF(SUM($F382:L382)&gt;=M447*$F$9,0,M382)</f>
        <v>0</v>
      </c>
      <c r="N316" s="331">
        <f>+IF(SUM($F382:M382)&gt;=N447*$F$9,0,N382)</f>
        <v>0</v>
      </c>
      <c r="O316" s="331">
        <f>+IF(SUM($F382:N382)&gt;=O447*$F$9,0,O382)</f>
        <v>0</v>
      </c>
      <c r="P316" s="331">
        <f>+IF(SUM($F382:O382)&gt;=P447*$F$9,0,P382)</f>
        <v>0</v>
      </c>
      <c r="Q316" s="331">
        <f>+IF(SUM($F382:P382)&gt;=Q447*$F$9,0,Q382)</f>
        <v>0</v>
      </c>
      <c r="R316" s="331">
        <f>+IF(SUM($F382:Q382)&gt;=R447*$F$9,0,R382)</f>
        <v>0</v>
      </c>
      <c r="S316" s="331">
        <f>+IF(SUM($F382:R382)&gt;=S447*$F$9,0,S382)</f>
        <v>0</v>
      </c>
      <c r="T316" s="331">
        <f>+IF(SUM($F382:S382)&gt;=T447*$F$9,0,T382)</f>
        <v>0</v>
      </c>
      <c r="U316" s="331">
        <f>+IF(SUM($F382:T382)&gt;=U447*$F$9,0,U382)</f>
        <v>0</v>
      </c>
      <c r="V316" s="331">
        <f>+IF(SUM($F382:U382)&gt;=V447*$F$9,0,V382)</f>
        <v>0</v>
      </c>
      <c r="W316" s="331">
        <f>+IF(SUM($F382:V382)&gt;=W447*$F$9,0,W382)</f>
        <v>0</v>
      </c>
      <c r="X316" s="331">
        <f>+IF(SUM($F382:W382)&gt;=X447*$F$9,0,X382)</f>
        <v>0</v>
      </c>
      <c r="Y316" s="331">
        <f>+IF(SUM($F382:X382)&gt;=Y447*$F$9,0,Y382)</f>
        <v>0</v>
      </c>
      <c r="Z316" s="331">
        <f>+IF(SUM($F382:Y382)&gt;=Z447*$F$9,0,Z382)</f>
        <v>0</v>
      </c>
      <c r="AA316" s="331">
        <f>+IF(SUM($F382:Z382)&gt;=AA447*$F$9,0,AA382)</f>
        <v>0</v>
      </c>
      <c r="AB316" s="331">
        <f>+IF(SUM($F382:AA382)&gt;=AB447*$F$9,0,AB382)</f>
        <v>0</v>
      </c>
      <c r="AC316" s="331">
        <f>+IF(SUM($F382:AB382)&gt;=AC447*$F$9,0,AC382)</f>
        <v>0</v>
      </c>
      <c r="AD316" s="331">
        <f>+IF(SUM($F382:AC382)&gt;=AD447*$F$9,0,AD382)</f>
        <v>0</v>
      </c>
      <c r="AE316" s="331">
        <f>+IF(SUM($F382:AD382)&gt;=AE447*$F$9,0,AE382)</f>
        <v>0</v>
      </c>
      <c r="AF316" s="331">
        <f>+IF(SUM($F382:AE382)&gt;=AF447*$F$9,0,AF382)</f>
        <v>0</v>
      </c>
      <c r="AG316" s="331">
        <f>+IF(SUM($F382:AF382)&gt;=AG447*$F$9,0,AG382)</f>
        <v>0</v>
      </c>
      <c r="AH316" s="331">
        <f>+IF(SUM($F382:AG382)&gt;=AH447*$F$9,0,AH382)</f>
        <v>0</v>
      </c>
      <c r="AI316" s="331">
        <f>+IF(SUM($F382:AH382)&gt;=AI447*$F$9,0,AI382)</f>
        <v>0</v>
      </c>
      <c r="AJ316" s="331">
        <f>+IF(SUM($F382:AI382)&gt;=AJ447*$F$9,0,AJ382)</f>
        <v>0</v>
      </c>
      <c r="AK316" s="331">
        <f>+IF(SUM($F382:AJ382)&gt;=AK447*$F$9,0,AK382)</f>
        <v>0</v>
      </c>
      <c r="AL316" s="331">
        <f>+IF(SUM($F382:AK382)&gt;=AL447*$F$9,0,AL382)</f>
        <v>0</v>
      </c>
      <c r="AM316" s="331">
        <f>+IF(SUM($F382:AL382)&gt;=AM447*$F$9,0,AM382)</f>
        <v>0</v>
      </c>
      <c r="AN316" s="331">
        <f>+IF(SUM($F382:AM382)&gt;=AN447*$F$9,0,AN382)</f>
        <v>0</v>
      </c>
      <c r="AO316" s="331">
        <f>+IF(SUM($F382:AN382)&gt;=AO447*$F$9,0,AO382)</f>
        <v>0</v>
      </c>
      <c r="AP316" s="331">
        <f>+IF(SUM($F382:AO382)&gt;=AP447*$F$9,0,AP382)</f>
        <v>0</v>
      </c>
      <c r="AQ316" s="331">
        <f>+IF(SUM($F382:AP382)&gt;=AQ447*$F$9,0,AQ382)</f>
        <v>0</v>
      </c>
      <c r="AR316" s="331">
        <f>+IF(SUM($F382:AQ382)&gt;=AR447*$F$9,0,AR382)</f>
        <v>0</v>
      </c>
      <c r="AS316" s="331">
        <f>+IF(SUM($F382:AR382)&gt;=AS447*$F$9,0,AS382)</f>
        <v>0</v>
      </c>
      <c r="AT316" s="331">
        <f>+IF(SUM($F382:AS382)&gt;=AT447*$F$9,0,AT382)</f>
        <v>0</v>
      </c>
      <c r="AU316" s="331">
        <f>+IF(SUM($F382:AT382)&gt;=AU447*$F$9,0,AU382)</f>
        <v>0</v>
      </c>
      <c r="AV316" s="331">
        <f>+IF(SUM($F382:AU382)&gt;=AV447*$F$9,0,AV382)</f>
        <v>0</v>
      </c>
      <c r="AW316" s="331">
        <f>+IF(SUM($F382:AV382)&gt;=AW447*$F$9,0,AW382)</f>
        <v>0</v>
      </c>
      <c r="AX316" s="331">
        <f>+IF(SUM($F382:AW382)&gt;=AX447*$F$9,0,AX382)</f>
        <v>0</v>
      </c>
      <c r="AY316" s="331">
        <f>+IF(SUM($F382:AX382)&gt;=AY447*$F$9,0,AY382)</f>
        <v>0</v>
      </c>
      <c r="AZ316" s="331">
        <f>+IF(SUM($F382:AY382)&gt;=AZ447*$F$9,0,AZ382)</f>
        <v>0</v>
      </c>
      <c r="BA316" s="331">
        <f>+IF(SUM($F382:AZ382)&gt;=BA447*$F$9,0,BA382)</f>
        <v>0</v>
      </c>
      <c r="BB316" s="331">
        <f>+IF(SUM($F382:BA382)&gt;=BB447*$F$9,0,BB382)</f>
        <v>0</v>
      </c>
      <c r="BC316" s="331">
        <f>+IF(SUM($F382:BB382)&gt;=BC447*$F$9,0,BC382)</f>
        <v>0</v>
      </c>
      <c r="BD316" s="331">
        <f>+IF(SUM($F382:BC382)&gt;=BD447*$F$9,0,BD382)</f>
        <v>0</v>
      </c>
      <c r="BE316" s="331">
        <f>+IF(SUM($F382:BD382)&gt;=BE447*$F$9,0,BE382)</f>
        <v>0</v>
      </c>
      <c r="BF316" s="331">
        <f>+IF(SUM($F382:BE382)&gt;=BF447*$F$9,0,BF382)</f>
        <v>0</v>
      </c>
      <c r="BG316" s="331">
        <f>+IF(SUM($F382:BF382)&gt;=BG447*$F$9,0,BG382)</f>
        <v>0</v>
      </c>
      <c r="BH316" s="331">
        <f>+IF(SUM($F382:BG382)&gt;=BH447*$F$9,0,BH382)</f>
        <v>0</v>
      </c>
      <c r="BI316" s="331">
        <f>+IF(SUM($F382:BH382)&gt;=BI447*$F$9,0,BI382)</f>
        <v>0</v>
      </c>
      <c r="BJ316" s="331">
        <f>+IF(SUM($F382:BI382)&gt;=BJ447*$F$9,0,BJ382)</f>
        <v>0</v>
      </c>
      <c r="BK316" s="331">
        <f>+IF(SUM($F382:BJ382)&gt;=BK447*$F$9,0,BK382)</f>
        <v>0</v>
      </c>
      <c r="BL316" s="331">
        <f>+IF(SUM($F382:BK382)&gt;=BL447*$F$9,0,BL382)</f>
        <v>0</v>
      </c>
      <c r="BM316" s="331">
        <f>+IF(SUM($F382:BL382)&gt;=BM447*$F$9,0,BM382)</f>
        <v>0</v>
      </c>
    </row>
    <row r="317" spans="5:65" ht="15.75">
      <c r="E317" s="416">
        <f t="shared" si="193"/>
        <v>44799</v>
      </c>
      <c r="F317" s="331">
        <f t="shared" si="192"/>
        <v>0</v>
      </c>
      <c r="G317" s="331">
        <f>+IF(SUM($F383:F383)&gt;=G448*$F$9,0,G383)</f>
        <v>0</v>
      </c>
      <c r="H317" s="331">
        <f>+IF(SUM($F383:G383)&gt;=H448*$F$9,0,H383)</f>
        <v>0</v>
      </c>
      <c r="I317" s="331">
        <f>+IF(SUM($F383:H383)&gt;=I448*$F$9,0,I383)</f>
        <v>0</v>
      </c>
      <c r="J317" s="331">
        <f>+IF(SUM($F383:I383)&gt;=J448*$F$9,0,J383)</f>
        <v>0</v>
      </c>
      <c r="K317" s="331">
        <f>+IF(SUM($F383:J383)&gt;=K448*$F$9,0,K383)</f>
        <v>0</v>
      </c>
      <c r="L317" s="331">
        <f>+IF(SUM($F383:K383)&gt;=L448*$F$9,0,L383)</f>
        <v>0</v>
      </c>
      <c r="M317" s="331">
        <f>+IF(SUM($F383:L383)&gt;=M448*$F$9,0,M383)</f>
        <v>0</v>
      </c>
      <c r="N317" s="331">
        <f>+IF(SUM($F383:M383)&gt;=N448*$F$9,0,N383)</f>
        <v>0</v>
      </c>
      <c r="O317" s="331">
        <f>+IF(SUM($F383:N383)&gt;=O448*$F$9,0,O383)</f>
        <v>0</v>
      </c>
      <c r="P317" s="331">
        <f>+IF(SUM($F383:O383)&gt;=P448*$F$9,0,P383)</f>
        <v>0</v>
      </c>
      <c r="Q317" s="331">
        <f>+IF(SUM($F383:P383)&gt;=Q448*$F$9,0,Q383)</f>
        <v>0</v>
      </c>
      <c r="R317" s="331">
        <f>+IF(SUM($F383:Q383)&gt;=R448*$F$9,0,R383)</f>
        <v>0</v>
      </c>
      <c r="S317" s="331">
        <f>+IF(SUM($F383:R383)&gt;=S448*$F$9,0,S383)</f>
        <v>0</v>
      </c>
      <c r="T317" s="331">
        <f>+IF(SUM($F383:S383)&gt;=T448*$F$9,0,T383)</f>
        <v>0</v>
      </c>
      <c r="U317" s="331">
        <f>+IF(SUM($F383:T383)&gt;=U448*$F$9,0,U383)</f>
        <v>0</v>
      </c>
      <c r="V317" s="331">
        <f>+IF(SUM($F383:U383)&gt;=V448*$F$9,0,V383)</f>
        <v>0</v>
      </c>
      <c r="W317" s="331">
        <f>+IF(SUM($F383:V383)&gt;=W448*$F$9,0,W383)</f>
        <v>0</v>
      </c>
      <c r="X317" s="331">
        <f>+IF(SUM($F383:W383)&gt;=X448*$F$9,0,X383)</f>
        <v>0</v>
      </c>
      <c r="Y317" s="331">
        <f>+IF(SUM($F383:X383)&gt;=Y448*$F$9,0,Y383)</f>
        <v>0</v>
      </c>
      <c r="Z317" s="331">
        <f>+IF(SUM($F383:Y383)&gt;=Z448*$F$9,0,Z383)</f>
        <v>0</v>
      </c>
      <c r="AA317" s="331">
        <f>+IF(SUM($F383:Z383)&gt;=AA448*$F$9,0,AA383)</f>
        <v>0</v>
      </c>
      <c r="AB317" s="331">
        <f>+IF(SUM($F383:AA383)&gt;=AB448*$F$9,0,AB383)</f>
        <v>0</v>
      </c>
      <c r="AC317" s="331">
        <f>+IF(SUM($F383:AB383)&gt;=AC448*$F$9,0,AC383)</f>
        <v>0</v>
      </c>
      <c r="AD317" s="331">
        <f>+IF(SUM($F383:AC383)&gt;=AD448*$F$9,0,AD383)</f>
        <v>0</v>
      </c>
      <c r="AE317" s="331">
        <f>+IF(SUM($F383:AD383)&gt;=AE448*$F$9,0,AE383)</f>
        <v>0</v>
      </c>
      <c r="AF317" s="331">
        <f>+IF(SUM($F383:AE383)&gt;=AF448*$F$9,0,AF383)</f>
        <v>0</v>
      </c>
      <c r="AG317" s="331">
        <f>+IF(SUM($F383:AF383)&gt;=AG448*$F$9,0,AG383)</f>
        <v>0</v>
      </c>
      <c r="AH317" s="331">
        <f>+IF(SUM($F383:AG383)&gt;=AH448*$F$9,0,AH383)</f>
        <v>0</v>
      </c>
      <c r="AI317" s="331">
        <f>+IF(SUM($F383:AH383)&gt;=AI448*$F$9,0,AI383)</f>
        <v>0</v>
      </c>
      <c r="AJ317" s="331">
        <f>+IF(SUM($F383:AI383)&gt;=AJ448*$F$9,0,AJ383)</f>
        <v>0</v>
      </c>
      <c r="AK317" s="331">
        <f>+IF(SUM($F383:AJ383)&gt;=AK448*$F$9,0,AK383)</f>
        <v>0</v>
      </c>
      <c r="AL317" s="331">
        <f>+IF(SUM($F383:AK383)&gt;=AL448*$F$9,0,AL383)</f>
        <v>0</v>
      </c>
      <c r="AM317" s="331">
        <f>+IF(SUM($F383:AL383)&gt;=AM448*$F$9,0,AM383)</f>
        <v>0</v>
      </c>
      <c r="AN317" s="331">
        <f>+IF(SUM($F383:AM383)&gt;=AN448*$F$9,0,AN383)</f>
        <v>0</v>
      </c>
      <c r="AO317" s="331">
        <f>+IF(SUM($F383:AN383)&gt;=AO448*$F$9,0,AO383)</f>
        <v>0</v>
      </c>
      <c r="AP317" s="331">
        <f>+IF(SUM($F383:AO383)&gt;=AP448*$F$9,0,AP383)</f>
        <v>0</v>
      </c>
      <c r="AQ317" s="331">
        <f>+IF(SUM($F383:AP383)&gt;=AQ448*$F$9,0,AQ383)</f>
        <v>0</v>
      </c>
      <c r="AR317" s="331">
        <f>+IF(SUM($F383:AQ383)&gt;=AR448*$F$9,0,AR383)</f>
        <v>0</v>
      </c>
      <c r="AS317" s="331">
        <f>+IF(SUM($F383:AR383)&gt;=AS448*$F$9,0,AS383)</f>
        <v>0</v>
      </c>
      <c r="AT317" s="331">
        <f>+IF(SUM($F383:AS383)&gt;=AT448*$F$9,0,AT383)</f>
        <v>0</v>
      </c>
      <c r="AU317" s="331">
        <f>+IF(SUM($F383:AT383)&gt;=AU448*$F$9,0,AU383)</f>
        <v>0</v>
      </c>
      <c r="AV317" s="331">
        <f>+IF(SUM($F383:AU383)&gt;=AV448*$F$9,0,AV383)</f>
        <v>0</v>
      </c>
      <c r="AW317" s="331">
        <f>+IF(SUM($F383:AV383)&gt;=AW448*$F$9,0,AW383)</f>
        <v>0</v>
      </c>
      <c r="AX317" s="331">
        <f>+IF(SUM($F383:AW383)&gt;=AX448*$F$9,0,AX383)</f>
        <v>0</v>
      </c>
      <c r="AY317" s="331">
        <f>+IF(SUM($F383:AX383)&gt;=AY448*$F$9,0,AY383)</f>
        <v>0</v>
      </c>
      <c r="AZ317" s="331">
        <f>+IF(SUM($F383:AY383)&gt;=AZ448*$F$9,0,AZ383)</f>
        <v>0</v>
      </c>
      <c r="BA317" s="331">
        <f>+IF(SUM($F383:AZ383)&gt;=BA448*$F$9,0,BA383)</f>
        <v>0</v>
      </c>
      <c r="BB317" s="331">
        <f>+IF(SUM($F383:BA383)&gt;=BB448*$F$9,0,BB383)</f>
        <v>0</v>
      </c>
      <c r="BC317" s="331">
        <f>+IF(SUM($F383:BB383)&gt;=BC448*$F$9,0,BC383)</f>
        <v>0</v>
      </c>
      <c r="BD317" s="331">
        <f>+IF(SUM($F383:BC383)&gt;=BD448*$F$9,0,BD383)</f>
        <v>0</v>
      </c>
      <c r="BE317" s="331">
        <f>+IF(SUM($F383:BD383)&gt;=BE448*$F$9,0,BE383)</f>
        <v>0</v>
      </c>
      <c r="BF317" s="331">
        <f>+IF(SUM($F383:BE383)&gt;=BF448*$F$9,0,BF383)</f>
        <v>0</v>
      </c>
      <c r="BG317" s="331">
        <f>+IF(SUM($F383:BF383)&gt;=BG448*$F$9,0,BG383)</f>
        <v>0</v>
      </c>
      <c r="BH317" s="331">
        <f>+IF(SUM($F383:BG383)&gt;=BH448*$F$9,0,BH383)</f>
        <v>0</v>
      </c>
      <c r="BI317" s="331">
        <f>+IF(SUM($F383:BH383)&gt;=BI448*$F$9,0,BI383)</f>
        <v>0</v>
      </c>
      <c r="BJ317" s="331">
        <f>+IF(SUM($F383:BI383)&gt;=BJ448*$F$9,0,BJ383)</f>
        <v>0</v>
      </c>
      <c r="BK317" s="331">
        <f>+IF(SUM($F383:BJ383)&gt;=BK448*$F$9,0,BK383)</f>
        <v>0</v>
      </c>
      <c r="BL317" s="331">
        <f>+IF(SUM($F383:BK383)&gt;=BL448*$F$9,0,BL383)</f>
        <v>0</v>
      </c>
      <c r="BM317" s="331">
        <f>+IF(SUM($F383:BL383)&gt;=BM448*$F$9,0,BM383)</f>
        <v>0</v>
      </c>
    </row>
    <row r="318" spans="5:65" ht="15.75">
      <c r="E318" s="416">
        <f t="shared" si="193"/>
        <v>44830</v>
      </c>
      <c r="F318" s="331">
        <f t="shared" si="192"/>
        <v>0</v>
      </c>
      <c r="G318" s="331">
        <f>+IF(SUM($F384:F384)&gt;=G449*$F$9,0,G384)</f>
        <v>0</v>
      </c>
      <c r="H318" s="331">
        <f>+IF(SUM($F384:G384)&gt;=H449*$F$9,0,H384)</f>
        <v>0</v>
      </c>
      <c r="I318" s="331">
        <f>+IF(SUM($F384:H384)&gt;=I449*$F$9,0,I384)</f>
        <v>0</v>
      </c>
      <c r="J318" s="331">
        <f>+IF(SUM($F384:I384)&gt;=J449*$F$9,0,J384)</f>
        <v>0</v>
      </c>
      <c r="K318" s="331">
        <f>+IF(SUM($F384:J384)&gt;=K449*$F$9,0,K384)</f>
        <v>0</v>
      </c>
      <c r="L318" s="331">
        <f>+IF(SUM($F384:K384)&gt;=L449*$F$9,0,L384)</f>
        <v>0</v>
      </c>
      <c r="M318" s="331">
        <f>+IF(SUM($F384:L384)&gt;=M449*$F$9,0,M384)</f>
        <v>0</v>
      </c>
      <c r="N318" s="331">
        <f>+IF(SUM($F384:M384)&gt;=N449*$F$9,0,N384)</f>
        <v>0</v>
      </c>
      <c r="O318" s="331">
        <f>+IF(SUM($F384:N384)&gt;=O449*$F$9,0,O384)</f>
        <v>0</v>
      </c>
      <c r="P318" s="331">
        <f>+IF(SUM($F384:O384)&gt;=P449*$F$9,0,P384)</f>
        <v>0</v>
      </c>
      <c r="Q318" s="331">
        <f>+IF(SUM($F384:P384)&gt;=Q449*$F$9,0,Q384)</f>
        <v>0</v>
      </c>
      <c r="R318" s="331">
        <f>+IF(SUM($F384:Q384)&gt;=R449*$F$9,0,R384)</f>
        <v>0</v>
      </c>
      <c r="S318" s="331">
        <f>+IF(SUM($F384:R384)&gt;=S449*$F$9,0,S384)</f>
        <v>0</v>
      </c>
      <c r="T318" s="331">
        <f>+IF(SUM($F384:S384)&gt;=T449*$F$9,0,T384)</f>
        <v>0</v>
      </c>
      <c r="U318" s="331">
        <f>+IF(SUM($F384:T384)&gt;=U449*$F$9,0,U384)</f>
        <v>0</v>
      </c>
      <c r="V318" s="331">
        <f>+IF(SUM($F384:U384)&gt;=V449*$F$9,0,V384)</f>
        <v>0</v>
      </c>
      <c r="W318" s="331">
        <f>+IF(SUM($F384:V384)&gt;=W449*$F$9,0,W384)</f>
        <v>0</v>
      </c>
      <c r="X318" s="331">
        <f>+IF(SUM($F384:W384)&gt;=X449*$F$9,0,X384)</f>
        <v>0</v>
      </c>
      <c r="Y318" s="331">
        <f>+IF(SUM($F384:X384)&gt;=Y449*$F$9,0,Y384)</f>
        <v>0</v>
      </c>
      <c r="Z318" s="331">
        <f>+IF(SUM($F384:Y384)&gt;=Z449*$F$9,0,Z384)</f>
        <v>0</v>
      </c>
      <c r="AA318" s="331">
        <f>+IF(SUM($F384:Z384)&gt;=AA449*$F$9,0,AA384)</f>
        <v>0</v>
      </c>
      <c r="AB318" s="331">
        <f>+IF(SUM($F384:AA384)&gt;=AB449*$F$9,0,AB384)</f>
        <v>0</v>
      </c>
      <c r="AC318" s="331">
        <f>+IF(SUM($F384:AB384)&gt;=AC449*$F$9,0,AC384)</f>
        <v>0</v>
      </c>
      <c r="AD318" s="331">
        <f>+IF(SUM($F384:AC384)&gt;=AD449*$F$9,0,AD384)</f>
        <v>0</v>
      </c>
      <c r="AE318" s="331">
        <f>+IF(SUM($F384:AD384)&gt;=AE449*$F$9,0,AE384)</f>
        <v>0</v>
      </c>
      <c r="AF318" s="331">
        <f>+IF(SUM($F384:AE384)&gt;=AF449*$F$9,0,AF384)</f>
        <v>0</v>
      </c>
      <c r="AG318" s="331">
        <f>+IF(SUM($F384:AF384)&gt;=AG449*$F$9,0,AG384)</f>
        <v>0</v>
      </c>
      <c r="AH318" s="331">
        <f>+IF(SUM($F384:AG384)&gt;=AH449*$F$9,0,AH384)</f>
        <v>0</v>
      </c>
      <c r="AI318" s="331">
        <f>+IF(SUM($F384:AH384)&gt;=AI449*$F$9,0,AI384)</f>
        <v>0</v>
      </c>
      <c r="AJ318" s="331">
        <f>+IF(SUM($F384:AI384)&gt;=AJ449*$F$9,0,AJ384)</f>
        <v>0</v>
      </c>
      <c r="AK318" s="331">
        <f>+IF(SUM($F384:AJ384)&gt;=AK449*$F$9,0,AK384)</f>
        <v>0</v>
      </c>
      <c r="AL318" s="331">
        <f>+IF(SUM($F384:AK384)&gt;=AL449*$F$9,0,AL384)</f>
        <v>0</v>
      </c>
      <c r="AM318" s="331">
        <f>+IF(SUM($F384:AL384)&gt;=AM449*$F$9,0,AM384)</f>
        <v>0</v>
      </c>
      <c r="AN318" s="331">
        <f>+IF(SUM($F384:AM384)&gt;=AN449*$F$9,0,AN384)</f>
        <v>0</v>
      </c>
      <c r="AO318" s="331">
        <f>+IF(SUM($F384:AN384)&gt;=AO449*$F$9,0,AO384)</f>
        <v>0</v>
      </c>
      <c r="AP318" s="331">
        <f>+IF(SUM($F384:AO384)&gt;=AP449*$F$9,0,AP384)</f>
        <v>0</v>
      </c>
      <c r="AQ318" s="331">
        <f>+IF(SUM($F384:AP384)&gt;=AQ449*$F$9,0,AQ384)</f>
        <v>0</v>
      </c>
      <c r="AR318" s="331">
        <f>+IF(SUM($F384:AQ384)&gt;=AR449*$F$9,0,AR384)</f>
        <v>0</v>
      </c>
      <c r="AS318" s="331">
        <f>+IF(SUM($F384:AR384)&gt;=AS449*$F$9,0,AS384)</f>
        <v>0</v>
      </c>
      <c r="AT318" s="331">
        <f>+IF(SUM($F384:AS384)&gt;=AT449*$F$9,0,AT384)</f>
        <v>0</v>
      </c>
      <c r="AU318" s="331">
        <f>+IF(SUM($F384:AT384)&gt;=AU449*$F$9,0,AU384)</f>
        <v>0</v>
      </c>
      <c r="AV318" s="331">
        <f>+IF(SUM($F384:AU384)&gt;=AV449*$F$9,0,AV384)</f>
        <v>0</v>
      </c>
      <c r="AW318" s="331">
        <f>+IF(SUM($F384:AV384)&gt;=AW449*$F$9,0,AW384)</f>
        <v>0</v>
      </c>
      <c r="AX318" s="331">
        <f>+IF(SUM($F384:AW384)&gt;=AX449*$F$9,0,AX384)</f>
        <v>0</v>
      </c>
      <c r="AY318" s="331">
        <f>+IF(SUM($F384:AX384)&gt;=AY449*$F$9,0,AY384)</f>
        <v>0</v>
      </c>
      <c r="AZ318" s="331">
        <f>+IF(SUM($F384:AY384)&gt;=AZ449*$F$9,0,AZ384)</f>
        <v>0</v>
      </c>
      <c r="BA318" s="331">
        <f>+IF(SUM($F384:AZ384)&gt;=BA449*$F$9,0,BA384)</f>
        <v>0</v>
      </c>
      <c r="BB318" s="331">
        <f>+IF(SUM($F384:BA384)&gt;=BB449*$F$9,0,BB384)</f>
        <v>0</v>
      </c>
      <c r="BC318" s="331">
        <f>+IF(SUM($F384:BB384)&gt;=BC449*$F$9,0,BC384)</f>
        <v>0</v>
      </c>
      <c r="BD318" s="331">
        <f>+IF(SUM($F384:BC384)&gt;=BD449*$F$9,0,BD384)</f>
        <v>0</v>
      </c>
      <c r="BE318" s="331">
        <f>+IF(SUM($F384:BD384)&gt;=BE449*$F$9,0,BE384)</f>
        <v>0</v>
      </c>
      <c r="BF318" s="331">
        <f>+IF(SUM($F384:BE384)&gt;=BF449*$F$9,0,BF384)</f>
        <v>0</v>
      </c>
      <c r="BG318" s="331">
        <f>+IF(SUM($F384:BF384)&gt;=BG449*$F$9,0,BG384)</f>
        <v>0</v>
      </c>
      <c r="BH318" s="331">
        <f>+IF(SUM($F384:BG384)&gt;=BH449*$F$9,0,BH384)</f>
        <v>0</v>
      </c>
      <c r="BI318" s="331">
        <f>+IF(SUM($F384:BH384)&gt;=BI449*$F$9,0,BI384)</f>
        <v>0</v>
      </c>
      <c r="BJ318" s="331">
        <f>+IF(SUM($F384:BI384)&gt;=BJ449*$F$9,0,BJ384)</f>
        <v>0</v>
      </c>
      <c r="BK318" s="331">
        <f>+IF(SUM($F384:BJ384)&gt;=BK449*$F$9,0,BK384)</f>
        <v>0</v>
      </c>
      <c r="BL318" s="331">
        <f>+IF(SUM($F384:BK384)&gt;=BL449*$F$9,0,BL384)</f>
        <v>0</v>
      </c>
      <c r="BM318" s="331">
        <f>+IF(SUM($F384:BL384)&gt;=BM449*$F$9,0,BM384)</f>
        <v>0</v>
      </c>
    </row>
    <row r="319" spans="5:65" ht="15.75">
      <c r="E319" s="416">
        <f t="shared" si="193"/>
        <v>44861</v>
      </c>
      <c r="F319" s="331">
        <f t="shared" si="192"/>
        <v>0</v>
      </c>
      <c r="G319" s="331">
        <f>+IF(SUM($F385:F385)&gt;=G450*$F$9,0,G385)</f>
        <v>0</v>
      </c>
      <c r="H319" s="331">
        <f>+IF(SUM($F385:G385)&gt;=H450*$F$9,0,H385)</f>
        <v>0</v>
      </c>
      <c r="I319" s="331">
        <f>+IF(SUM($F385:H385)&gt;=I450*$F$9,0,I385)</f>
        <v>0</v>
      </c>
      <c r="J319" s="331">
        <f>+IF(SUM($F385:I385)&gt;=J450*$F$9,0,J385)</f>
        <v>0</v>
      </c>
      <c r="K319" s="331">
        <f>+IF(SUM($F385:J385)&gt;=K450*$F$9,0,K385)</f>
        <v>0</v>
      </c>
      <c r="L319" s="331">
        <f>+IF(SUM($F385:K385)&gt;=L450*$F$9,0,L385)</f>
        <v>0</v>
      </c>
      <c r="M319" s="331">
        <f>+IF(SUM($F385:L385)&gt;=M450*$F$9,0,M385)</f>
        <v>0</v>
      </c>
      <c r="N319" s="331">
        <f>+IF(SUM($F385:M385)&gt;=N450*$F$9,0,N385)</f>
        <v>0</v>
      </c>
      <c r="O319" s="331">
        <f>+IF(SUM($F385:N385)&gt;=O450*$F$9,0,O385)</f>
        <v>0</v>
      </c>
      <c r="P319" s="331">
        <f>+IF(SUM($F385:O385)&gt;=P450*$F$9,0,P385)</f>
        <v>0</v>
      </c>
      <c r="Q319" s="331">
        <f>+IF(SUM($F385:P385)&gt;=Q450*$F$9,0,Q385)</f>
        <v>0</v>
      </c>
      <c r="R319" s="331">
        <f>+IF(SUM($F385:Q385)&gt;=R450*$F$9,0,R385)</f>
        <v>0</v>
      </c>
      <c r="S319" s="331">
        <f>+IF(SUM($F385:R385)&gt;=S450*$F$9,0,S385)</f>
        <v>0</v>
      </c>
      <c r="T319" s="331">
        <f>+IF(SUM($F385:S385)&gt;=T450*$F$9,0,T385)</f>
        <v>0</v>
      </c>
      <c r="U319" s="331">
        <f>+IF(SUM($F385:T385)&gt;=U450*$F$9,0,U385)</f>
        <v>0</v>
      </c>
      <c r="V319" s="331">
        <f>+IF(SUM($F385:U385)&gt;=V450*$F$9,0,V385)</f>
        <v>0</v>
      </c>
      <c r="W319" s="331">
        <f>+IF(SUM($F385:V385)&gt;=W450*$F$9,0,W385)</f>
        <v>0</v>
      </c>
      <c r="X319" s="331">
        <f>+IF(SUM($F385:W385)&gt;=X450*$F$9,0,X385)</f>
        <v>0</v>
      </c>
      <c r="Y319" s="331">
        <f>+IF(SUM($F385:X385)&gt;=Y450*$F$9,0,Y385)</f>
        <v>0</v>
      </c>
      <c r="Z319" s="331">
        <f>+IF(SUM($F385:Y385)&gt;=Z450*$F$9,0,Z385)</f>
        <v>0</v>
      </c>
      <c r="AA319" s="331">
        <f>+IF(SUM($F385:Z385)&gt;=AA450*$F$9,0,AA385)</f>
        <v>0</v>
      </c>
      <c r="AB319" s="331">
        <f>+IF(SUM($F385:AA385)&gt;=AB450*$F$9,0,AB385)</f>
        <v>0</v>
      </c>
      <c r="AC319" s="331">
        <f>+IF(SUM($F385:AB385)&gt;=AC450*$F$9,0,AC385)</f>
        <v>0</v>
      </c>
      <c r="AD319" s="331">
        <f>+IF(SUM($F385:AC385)&gt;=AD450*$F$9,0,AD385)</f>
        <v>0</v>
      </c>
      <c r="AE319" s="331">
        <f>+IF(SUM($F385:AD385)&gt;=AE450*$F$9,0,AE385)</f>
        <v>0</v>
      </c>
      <c r="AF319" s="331">
        <f>+IF(SUM($F385:AE385)&gt;=AF450*$F$9,0,AF385)</f>
        <v>0</v>
      </c>
      <c r="AG319" s="331">
        <f>+IF(SUM($F385:AF385)&gt;=AG450*$F$9,0,AG385)</f>
        <v>0</v>
      </c>
      <c r="AH319" s="331">
        <f>+IF(SUM($F385:AG385)&gt;=AH450*$F$9,0,AH385)</f>
        <v>0</v>
      </c>
      <c r="AI319" s="331">
        <f>+IF(SUM($F385:AH385)&gt;=AI450*$F$9,0,AI385)</f>
        <v>0</v>
      </c>
      <c r="AJ319" s="331">
        <f>+IF(SUM($F385:AI385)&gt;=AJ450*$F$9,0,AJ385)</f>
        <v>0</v>
      </c>
      <c r="AK319" s="331">
        <f>+IF(SUM($F385:AJ385)&gt;=AK450*$F$9,0,AK385)</f>
        <v>0</v>
      </c>
      <c r="AL319" s="331">
        <f>+IF(SUM($F385:AK385)&gt;=AL450*$F$9,0,AL385)</f>
        <v>0</v>
      </c>
      <c r="AM319" s="331">
        <f>+IF(SUM($F385:AL385)&gt;=AM450*$F$9,0,AM385)</f>
        <v>0</v>
      </c>
      <c r="AN319" s="331">
        <f>+IF(SUM($F385:AM385)&gt;=AN450*$F$9,0,AN385)</f>
        <v>0</v>
      </c>
      <c r="AO319" s="331">
        <f>+IF(SUM($F385:AN385)&gt;=AO450*$F$9,0,AO385)</f>
        <v>0</v>
      </c>
      <c r="AP319" s="331">
        <f>+IF(SUM($F385:AO385)&gt;=AP450*$F$9,0,AP385)</f>
        <v>0</v>
      </c>
      <c r="AQ319" s="331">
        <f>+IF(SUM($F385:AP385)&gt;=AQ450*$F$9,0,AQ385)</f>
        <v>0</v>
      </c>
      <c r="AR319" s="331">
        <f>+IF(SUM($F385:AQ385)&gt;=AR450*$F$9,0,AR385)</f>
        <v>0</v>
      </c>
      <c r="AS319" s="331">
        <f>+IF(SUM($F385:AR385)&gt;=AS450*$F$9,0,AS385)</f>
        <v>0</v>
      </c>
      <c r="AT319" s="331">
        <f>+IF(SUM($F385:AS385)&gt;=AT450*$F$9,0,AT385)</f>
        <v>0</v>
      </c>
      <c r="AU319" s="331">
        <f>+IF(SUM($F385:AT385)&gt;=AU450*$F$9,0,AU385)</f>
        <v>0</v>
      </c>
      <c r="AV319" s="331">
        <f>+IF(SUM($F385:AU385)&gt;=AV450*$F$9,0,AV385)</f>
        <v>0</v>
      </c>
      <c r="AW319" s="331">
        <f>+IF(SUM($F385:AV385)&gt;=AW450*$F$9,0,AW385)</f>
        <v>0</v>
      </c>
      <c r="AX319" s="331">
        <f>+IF(SUM($F385:AW385)&gt;=AX450*$F$9,0,AX385)</f>
        <v>0</v>
      </c>
      <c r="AY319" s="331">
        <f>+IF(SUM($F385:AX385)&gt;=AY450*$F$9,0,AY385)</f>
        <v>0</v>
      </c>
      <c r="AZ319" s="331">
        <f>+IF(SUM($F385:AY385)&gt;=AZ450*$F$9,0,AZ385)</f>
        <v>0</v>
      </c>
      <c r="BA319" s="331">
        <f>+IF(SUM($F385:AZ385)&gt;=BA450*$F$9,0,BA385)</f>
        <v>0</v>
      </c>
      <c r="BB319" s="331">
        <f>+IF(SUM($F385:BA385)&gt;=BB450*$F$9,0,BB385)</f>
        <v>0</v>
      </c>
      <c r="BC319" s="331">
        <f>+IF(SUM($F385:BB385)&gt;=BC450*$F$9,0,BC385)</f>
        <v>0</v>
      </c>
      <c r="BD319" s="331">
        <f>+IF(SUM($F385:BC385)&gt;=BD450*$F$9,0,BD385)</f>
        <v>0</v>
      </c>
      <c r="BE319" s="331">
        <f>+IF(SUM($F385:BD385)&gt;=BE450*$F$9,0,BE385)</f>
        <v>0</v>
      </c>
      <c r="BF319" s="331">
        <f>+IF(SUM($F385:BE385)&gt;=BF450*$F$9,0,BF385)</f>
        <v>0</v>
      </c>
      <c r="BG319" s="331">
        <f>+IF(SUM($F385:BF385)&gt;=BG450*$F$9,0,BG385)</f>
        <v>0</v>
      </c>
      <c r="BH319" s="331">
        <f>+IF(SUM($F385:BG385)&gt;=BH450*$F$9,0,BH385)</f>
        <v>0</v>
      </c>
      <c r="BI319" s="331">
        <f>+IF(SUM($F385:BH385)&gt;=BI450*$F$9,0,BI385)</f>
        <v>0</v>
      </c>
      <c r="BJ319" s="331">
        <f>+IF(SUM($F385:BI385)&gt;=BJ450*$F$9,0,BJ385)</f>
        <v>0</v>
      </c>
      <c r="BK319" s="331">
        <f>+IF(SUM($F385:BJ385)&gt;=BK450*$F$9,0,BK385)</f>
        <v>0</v>
      </c>
      <c r="BL319" s="331">
        <f>+IF(SUM($F385:BK385)&gt;=BL450*$F$9,0,BL385)</f>
        <v>0</v>
      </c>
      <c r="BM319" s="331">
        <f>+IF(SUM($F385:BL385)&gt;=BM450*$F$9,0,BM385)</f>
        <v>0</v>
      </c>
    </row>
    <row r="320" spans="5:65" ht="15.75">
      <c r="E320" s="416">
        <f t="shared" si="193"/>
        <v>44892</v>
      </c>
      <c r="F320" s="331">
        <f t="shared" si="192"/>
        <v>0</v>
      </c>
      <c r="G320" s="331">
        <f>+IF(SUM($F386:F386)&gt;=G451*$F$9,0,G386)</f>
        <v>0</v>
      </c>
      <c r="H320" s="331">
        <f>+IF(SUM($F386:G386)&gt;=H451*$F$9,0,H386)</f>
        <v>0</v>
      </c>
      <c r="I320" s="331">
        <f>+IF(SUM($F386:H386)&gt;=I451*$F$9,0,I386)</f>
        <v>0</v>
      </c>
      <c r="J320" s="331">
        <f>+IF(SUM($F386:I386)&gt;=J451*$F$9,0,J386)</f>
        <v>0</v>
      </c>
      <c r="K320" s="331">
        <f>+IF(SUM($F386:J386)&gt;=K451*$F$9,0,K386)</f>
        <v>0</v>
      </c>
      <c r="L320" s="331">
        <f>+IF(SUM($F386:K386)&gt;=L451*$F$9,0,L386)</f>
        <v>0</v>
      </c>
      <c r="M320" s="331">
        <f>+IF(SUM($F386:L386)&gt;=M451*$F$9,0,M386)</f>
        <v>0</v>
      </c>
      <c r="N320" s="331">
        <f>+IF(SUM($F386:M386)&gt;=N451*$F$9,0,N386)</f>
        <v>0</v>
      </c>
      <c r="O320" s="331">
        <f>+IF(SUM($F386:N386)&gt;=O451*$F$9,0,O386)</f>
        <v>0</v>
      </c>
      <c r="P320" s="331">
        <f>+IF(SUM($F386:O386)&gt;=P451*$F$9,0,P386)</f>
        <v>0</v>
      </c>
      <c r="Q320" s="331">
        <f>+IF(SUM($F386:P386)&gt;=Q451*$F$9,0,Q386)</f>
        <v>0</v>
      </c>
      <c r="R320" s="331">
        <f>+IF(SUM($F386:Q386)&gt;=R451*$F$9,0,R386)</f>
        <v>0</v>
      </c>
      <c r="S320" s="331">
        <f>+IF(SUM($F386:R386)&gt;=S451*$F$9,0,S386)</f>
        <v>0</v>
      </c>
      <c r="T320" s="331">
        <f>+IF(SUM($F386:S386)&gt;=T451*$F$9,0,T386)</f>
        <v>0</v>
      </c>
      <c r="U320" s="331">
        <f>+IF(SUM($F386:T386)&gt;=U451*$F$9,0,U386)</f>
        <v>0</v>
      </c>
      <c r="V320" s="331">
        <f>+IF(SUM($F386:U386)&gt;=V451*$F$9,0,V386)</f>
        <v>0</v>
      </c>
      <c r="W320" s="331">
        <f>+IF(SUM($F386:V386)&gt;=W451*$F$9,0,W386)</f>
        <v>0</v>
      </c>
      <c r="X320" s="331">
        <f>+IF(SUM($F386:W386)&gt;=X451*$F$9,0,X386)</f>
        <v>0</v>
      </c>
      <c r="Y320" s="331">
        <f>+IF(SUM($F386:X386)&gt;=Y451*$F$9,0,Y386)</f>
        <v>0</v>
      </c>
      <c r="Z320" s="331">
        <f>+IF(SUM($F386:Y386)&gt;=Z451*$F$9,0,Z386)</f>
        <v>0</v>
      </c>
      <c r="AA320" s="331">
        <f>+IF(SUM($F386:Z386)&gt;=AA451*$F$9,0,AA386)</f>
        <v>0</v>
      </c>
      <c r="AB320" s="331">
        <f>+IF(SUM($F386:AA386)&gt;=AB451*$F$9,0,AB386)</f>
        <v>0</v>
      </c>
      <c r="AC320" s="331">
        <f>+IF(SUM($F386:AB386)&gt;=AC451*$F$9,0,AC386)</f>
        <v>0</v>
      </c>
      <c r="AD320" s="331">
        <f>+IF(SUM($F386:AC386)&gt;=AD451*$F$9,0,AD386)</f>
        <v>0</v>
      </c>
      <c r="AE320" s="331">
        <f>+IF(SUM($F386:AD386)&gt;=AE451*$F$9,0,AE386)</f>
        <v>0</v>
      </c>
      <c r="AF320" s="331">
        <f>+IF(SUM($F386:AE386)&gt;=AF451*$F$9,0,AF386)</f>
        <v>0</v>
      </c>
      <c r="AG320" s="331">
        <f>+IF(SUM($F386:AF386)&gt;=AG451*$F$9,0,AG386)</f>
        <v>0</v>
      </c>
      <c r="AH320" s="331">
        <f>+IF(SUM($F386:AG386)&gt;=AH451*$F$9,0,AH386)</f>
        <v>0</v>
      </c>
      <c r="AI320" s="331">
        <f>+IF(SUM($F386:AH386)&gt;=AI451*$F$9,0,AI386)</f>
        <v>0</v>
      </c>
      <c r="AJ320" s="331">
        <f>+IF(SUM($F386:AI386)&gt;=AJ451*$F$9,0,AJ386)</f>
        <v>0</v>
      </c>
      <c r="AK320" s="331">
        <f>+IF(SUM($F386:AJ386)&gt;=AK451*$F$9,0,AK386)</f>
        <v>0</v>
      </c>
      <c r="AL320" s="331">
        <f>+IF(SUM($F386:AK386)&gt;=AL451*$F$9,0,AL386)</f>
        <v>0</v>
      </c>
      <c r="AM320" s="331">
        <f>+IF(SUM($F386:AL386)&gt;=AM451*$F$9,0,AM386)</f>
        <v>0</v>
      </c>
      <c r="AN320" s="331">
        <f>+IF(SUM($F386:AM386)&gt;=AN451*$F$9,0,AN386)</f>
        <v>0</v>
      </c>
      <c r="AO320" s="331">
        <f>+IF(SUM($F386:AN386)&gt;=AO451*$F$9,0,AO386)</f>
        <v>0</v>
      </c>
      <c r="AP320" s="331">
        <f>+IF(SUM($F386:AO386)&gt;=AP451*$F$9,0,AP386)</f>
        <v>0</v>
      </c>
      <c r="AQ320" s="331">
        <f>+IF(SUM($F386:AP386)&gt;=AQ451*$F$9,0,AQ386)</f>
        <v>0</v>
      </c>
      <c r="AR320" s="331">
        <f>+IF(SUM($F386:AQ386)&gt;=AR451*$F$9,0,AR386)</f>
        <v>0</v>
      </c>
      <c r="AS320" s="331">
        <f>+IF(SUM($F386:AR386)&gt;=AS451*$F$9,0,AS386)</f>
        <v>0</v>
      </c>
      <c r="AT320" s="331">
        <f>+IF(SUM($F386:AS386)&gt;=AT451*$F$9,0,AT386)</f>
        <v>0</v>
      </c>
      <c r="AU320" s="331">
        <f>+IF(SUM($F386:AT386)&gt;=AU451*$F$9,0,AU386)</f>
        <v>0</v>
      </c>
      <c r="AV320" s="331">
        <f>+IF(SUM($F386:AU386)&gt;=AV451*$F$9,0,AV386)</f>
        <v>0</v>
      </c>
      <c r="AW320" s="331">
        <f>+IF(SUM($F386:AV386)&gt;=AW451*$F$9,0,AW386)</f>
        <v>0</v>
      </c>
      <c r="AX320" s="331">
        <f>+IF(SUM($F386:AW386)&gt;=AX451*$F$9,0,AX386)</f>
        <v>0</v>
      </c>
      <c r="AY320" s="331">
        <f>+IF(SUM($F386:AX386)&gt;=AY451*$F$9,0,AY386)</f>
        <v>0</v>
      </c>
      <c r="AZ320" s="331">
        <f>+IF(SUM($F386:AY386)&gt;=AZ451*$F$9,0,AZ386)</f>
        <v>0</v>
      </c>
      <c r="BA320" s="331">
        <f>+IF(SUM($F386:AZ386)&gt;=BA451*$F$9,0,BA386)</f>
        <v>0</v>
      </c>
      <c r="BB320" s="331">
        <f>+IF(SUM($F386:BA386)&gt;=BB451*$F$9,0,BB386)</f>
        <v>0</v>
      </c>
      <c r="BC320" s="331">
        <f>+IF(SUM($F386:BB386)&gt;=BC451*$F$9,0,BC386)</f>
        <v>0</v>
      </c>
      <c r="BD320" s="331">
        <f>+IF(SUM($F386:BC386)&gt;=BD451*$F$9,0,BD386)</f>
        <v>0</v>
      </c>
      <c r="BE320" s="331">
        <f>+IF(SUM($F386:BD386)&gt;=BE451*$F$9,0,BE386)</f>
        <v>0</v>
      </c>
      <c r="BF320" s="331">
        <f>+IF(SUM($F386:BE386)&gt;=BF451*$F$9,0,BF386)</f>
        <v>0</v>
      </c>
      <c r="BG320" s="331">
        <f>+IF(SUM($F386:BF386)&gt;=BG451*$F$9,0,BG386)</f>
        <v>0</v>
      </c>
      <c r="BH320" s="331">
        <f>+IF(SUM($F386:BG386)&gt;=BH451*$F$9,0,BH386)</f>
        <v>0</v>
      </c>
      <c r="BI320" s="331">
        <f>+IF(SUM($F386:BH386)&gt;=BI451*$F$9,0,BI386)</f>
        <v>0</v>
      </c>
      <c r="BJ320" s="331">
        <f>+IF(SUM($F386:BI386)&gt;=BJ451*$F$9,0,BJ386)</f>
        <v>0</v>
      </c>
      <c r="BK320" s="331">
        <f>+IF(SUM($F386:BJ386)&gt;=BK451*$F$9,0,BK386)</f>
        <v>0</v>
      </c>
      <c r="BL320" s="331">
        <f>+IF(SUM($F386:BK386)&gt;=BL451*$F$9,0,BL386)</f>
        <v>0</v>
      </c>
      <c r="BM320" s="331">
        <f>+IF(SUM($F386:BL386)&gt;=BM451*$F$9,0,BM386)</f>
        <v>0</v>
      </c>
    </row>
    <row r="321" spans="5:65" ht="15.75">
      <c r="E321" s="416">
        <f t="shared" si="193"/>
        <v>44923</v>
      </c>
      <c r="F321" s="331">
        <f t="shared" si="192"/>
        <v>0</v>
      </c>
      <c r="G321" s="331">
        <f>+IF(SUM($F387:F387)&gt;=G452*$F$9,0,G387)</f>
        <v>0</v>
      </c>
      <c r="H321" s="331">
        <f>+IF(SUM($F387:G387)&gt;=H452*$F$9,0,H387)</f>
        <v>0</v>
      </c>
      <c r="I321" s="331">
        <f>+IF(SUM($F387:H387)&gt;=I452*$F$9,0,I387)</f>
        <v>0</v>
      </c>
      <c r="J321" s="331">
        <f>+IF(SUM($F387:I387)&gt;=J452*$F$9,0,J387)</f>
        <v>0</v>
      </c>
      <c r="K321" s="331">
        <f>+IF(SUM($F387:J387)&gt;=K452*$F$9,0,K387)</f>
        <v>0</v>
      </c>
      <c r="L321" s="331">
        <f>+IF(SUM($F387:K387)&gt;=L452*$F$9,0,L387)</f>
        <v>0</v>
      </c>
      <c r="M321" s="331">
        <f>+IF(SUM($F387:L387)&gt;=M452*$F$9,0,M387)</f>
        <v>0</v>
      </c>
      <c r="N321" s="331">
        <f>+IF(SUM($F387:M387)&gt;=N452*$F$9,0,N387)</f>
        <v>0</v>
      </c>
      <c r="O321" s="331">
        <f>+IF(SUM($F387:N387)&gt;=O452*$F$9,0,O387)</f>
        <v>0</v>
      </c>
      <c r="P321" s="331">
        <f>+IF(SUM($F387:O387)&gt;=P452*$F$9,0,P387)</f>
        <v>0</v>
      </c>
      <c r="Q321" s="331">
        <f>+IF(SUM($F387:P387)&gt;=Q452*$F$9,0,Q387)</f>
        <v>0</v>
      </c>
      <c r="R321" s="331">
        <f>+IF(SUM($F387:Q387)&gt;=R452*$F$9,0,R387)</f>
        <v>0</v>
      </c>
      <c r="S321" s="331">
        <f>+IF(SUM($F387:R387)&gt;=S452*$F$9,0,S387)</f>
        <v>0</v>
      </c>
      <c r="T321" s="331">
        <f>+IF(SUM($F387:S387)&gt;=T452*$F$9,0,T387)</f>
        <v>0</v>
      </c>
      <c r="U321" s="331">
        <f>+IF(SUM($F387:T387)&gt;=U452*$F$9,0,U387)</f>
        <v>0</v>
      </c>
      <c r="V321" s="331">
        <f>+IF(SUM($F387:U387)&gt;=V452*$F$9,0,V387)</f>
        <v>0</v>
      </c>
      <c r="W321" s="331">
        <f>+IF(SUM($F387:V387)&gt;=W452*$F$9,0,W387)</f>
        <v>0</v>
      </c>
      <c r="X321" s="331">
        <f>+IF(SUM($F387:W387)&gt;=X452*$F$9,0,X387)</f>
        <v>0</v>
      </c>
      <c r="Y321" s="331">
        <f>+IF(SUM($F387:X387)&gt;=Y452*$F$9,0,Y387)</f>
        <v>0</v>
      </c>
      <c r="Z321" s="331">
        <f>+IF(SUM($F387:Y387)&gt;=Z452*$F$9,0,Z387)</f>
        <v>0</v>
      </c>
      <c r="AA321" s="331">
        <f>+IF(SUM($F387:Z387)&gt;=AA452*$F$9,0,AA387)</f>
        <v>0</v>
      </c>
      <c r="AB321" s="331">
        <f>+IF(SUM($F387:AA387)&gt;=AB452*$F$9,0,AB387)</f>
        <v>0</v>
      </c>
      <c r="AC321" s="331">
        <f>+IF(SUM($F387:AB387)&gt;=AC452*$F$9,0,AC387)</f>
        <v>0</v>
      </c>
      <c r="AD321" s="331">
        <f>+IF(SUM($F387:AC387)&gt;=AD452*$F$9,0,AD387)</f>
        <v>0</v>
      </c>
      <c r="AE321" s="331">
        <f>+IF(SUM($F387:AD387)&gt;=AE452*$F$9,0,AE387)</f>
        <v>0</v>
      </c>
      <c r="AF321" s="331">
        <f>+IF(SUM($F387:AE387)&gt;=AF452*$F$9,0,AF387)</f>
        <v>0</v>
      </c>
      <c r="AG321" s="331">
        <f>+IF(SUM($F387:AF387)&gt;=AG452*$F$9,0,AG387)</f>
        <v>0</v>
      </c>
      <c r="AH321" s="331">
        <f>+IF(SUM($F387:AG387)&gt;=AH452*$F$9,0,AH387)</f>
        <v>0</v>
      </c>
      <c r="AI321" s="331">
        <f>+IF(SUM($F387:AH387)&gt;=AI452*$F$9,0,AI387)</f>
        <v>0</v>
      </c>
      <c r="AJ321" s="331">
        <f>+IF(SUM($F387:AI387)&gt;=AJ452*$F$9,0,AJ387)</f>
        <v>0</v>
      </c>
      <c r="AK321" s="331">
        <f>+IF(SUM($F387:AJ387)&gt;=AK452*$F$9,0,AK387)</f>
        <v>0</v>
      </c>
      <c r="AL321" s="331">
        <f>+IF(SUM($F387:AK387)&gt;=AL452*$F$9,0,AL387)</f>
        <v>0</v>
      </c>
      <c r="AM321" s="331">
        <f>+IF(SUM($F387:AL387)&gt;=AM452*$F$9,0,AM387)</f>
        <v>0</v>
      </c>
      <c r="AN321" s="331">
        <f>+IF(SUM($F387:AM387)&gt;=AN452*$F$9,0,AN387)</f>
        <v>0</v>
      </c>
      <c r="AO321" s="331">
        <f>+IF(SUM($F387:AN387)&gt;=AO452*$F$9,0,AO387)</f>
        <v>0</v>
      </c>
      <c r="AP321" s="331">
        <f>+IF(SUM($F387:AO387)&gt;=AP452*$F$9,0,AP387)</f>
        <v>0</v>
      </c>
      <c r="AQ321" s="331">
        <f>+IF(SUM($F387:AP387)&gt;=AQ452*$F$9,0,AQ387)</f>
        <v>0</v>
      </c>
      <c r="AR321" s="331">
        <f>+IF(SUM($F387:AQ387)&gt;=AR452*$F$9,0,AR387)</f>
        <v>0</v>
      </c>
      <c r="AS321" s="331">
        <f>+IF(SUM($F387:AR387)&gt;=AS452*$F$9,0,AS387)</f>
        <v>0</v>
      </c>
      <c r="AT321" s="331">
        <f>+IF(SUM($F387:AS387)&gt;=AT452*$F$9,0,AT387)</f>
        <v>0</v>
      </c>
      <c r="AU321" s="331">
        <f>+IF(SUM($F387:AT387)&gt;=AU452*$F$9,0,AU387)</f>
        <v>0</v>
      </c>
      <c r="AV321" s="331">
        <f>+IF(SUM($F387:AU387)&gt;=AV452*$F$9,0,AV387)</f>
        <v>0</v>
      </c>
      <c r="AW321" s="331">
        <f>+IF(SUM($F387:AV387)&gt;=AW452*$F$9,0,AW387)</f>
        <v>0</v>
      </c>
      <c r="AX321" s="331">
        <f>+IF(SUM($F387:AW387)&gt;=AX452*$F$9,0,AX387)</f>
        <v>0</v>
      </c>
      <c r="AY321" s="331">
        <f>+IF(SUM($F387:AX387)&gt;=AY452*$F$9,0,AY387)</f>
        <v>0</v>
      </c>
      <c r="AZ321" s="331">
        <f>+IF(SUM($F387:AY387)&gt;=AZ452*$F$9,0,AZ387)</f>
        <v>0</v>
      </c>
      <c r="BA321" s="331">
        <f>+IF(SUM($F387:AZ387)&gt;=BA452*$F$9,0,BA387)</f>
        <v>0</v>
      </c>
      <c r="BB321" s="331">
        <f>+IF(SUM($F387:BA387)&gt;=BB452*$F$9,0,BB387)</f>
        <v>0</v>
      </c>
      <c r="BC321" s="331">
        <f>+IF(SUM($F387:BB387)&gt;=BC452*$F$9,0,BC387)</f>
        <v>0</v>
      </c>
      <c r="BD321" s="331">
        <f>+IF(SUM($F387:BC387)&gt;=BD452*$F$9,0,BD387)</f>
        <v>0</v>
      </c>
      <c r="BE321" s="331">
        <f>+IF(SUM($F387:BD387)&gt;=BE452*$F$9,0,BE387)</f>
        <v>0</v>
      </c>
      <c r="BF321" s="331">
        <f>+IF(SUM($F387:BE387)&gt;=BF452*$F$9,0,BF387)</f>
        <v>0</v>
      </c>
      <c r="BG321" s="331">
        <f>+IF(SUM($F387:BF387)&gt;=BG452*$F$9,0,BG387)</f>
        <v>0</v>
      </c>
      <c r="BH321" s="331">
        <f>+IF(SUM($F387:BG387)&gt;=BH452*$F$9,0,BH387)</f>
        <v>0</v>
      </c>
      <c r="BI321" s="331">
        <f>+IF(SUM($F387:BH387)&gt;=BI452*$F$9,0,BI387)</f>
        <v>0</v>
      </c>
      <c r="BJ321" s="331">
        <f>+IF(SUM($F387:BI387)&gt;=BJ452*$F$9,0,BJ387)</f>
        <v>0</v>
      </c>
      <c r="BK321" s="331">
        <f>+IF(SUM($F387:BJ387)&gt;=BK452*$F$9,0,BK387)</f>
        <v>0</v>
      </c>
      <c r="BL321" s="331">
        <f>+IF(SUM($F387:BK387)&gt;=BL452*$F$9,0,BL387)</f>
        <v>0</v>
      </c>
      <c r="BM321" s="331">
        <f>+IF(SUM($F387:BL387)&gt;=BM452*$F$9,0,BM387)</f>
        <v>0</v>
      </c>
    </row>
    <row r="322" spans="5:65" ht="15.75">
      <c r="E322" s="416">
        <f t="shared" si="193"/>
        <v>44954</v>
      </c>
      <c r="F322" s="331">
        <f t="shared" si="192"/>
        <v>0</v>
      </c>
      <c r="G322" s="331">
        <f>+IF(SUM($F388:F388)&gt;=G453*$F$9,0,G388)</f>
        <v>0</v>
      </c>
      <c r="H322" s="331">
        <f>+IF(SUM($F388:G388)&gt;=H453*$F$9,0,H388)</f>
        <v>0</v>
      </c>
      <c r="I322" s="331">
        <f>+IF(SUM($F388:H388)&gt;=I453*$F$9,0,I388)</f>
        <v>0</v>
      </c>
      <c r="J322" s="331">
        <f>+IF(SUM($F388:I388)&gt;=J453*$F$9,0,J388)</f>
        <v>0</v>
      </c>
      <c r="K322" s="331">
        <f>+IF(SUM($F388:J388)&gt;=K453*$F$9,0,K388)</f>
        <v>0</v>
      </c>
      <c r="L322" s="331">
        <f>+IF(SUM($F388:K388)&gt;=L453*$F$9,0,L388)</f>
        <v>0</v>
      </c>
      <c r="M322" s="331">
        <f>+IF(SUM($F388:L388)&gt;=M453*$F$9,0,M388)</f>
        <v>0</v>
      </c>
      <c r="N322" s="331">
        <f>+IF(SUM($F388:M388)&gt;=N453*$F$9,0,N388)</f>
        <v>0</v>
      </c>
      <c r="O322" s="331">
        <f>+IF(SUM($F388:N388)&gt;=O453*$F$9,0,O388)</f>
        <v>0</v>
      </c>
      <c r="P322" s="331">
        <f>+IF(SUM($F388:O388)&gt;=P453*$F$9,0,P388)</f>
        <v>0</v>
      </c>
      <c r="Q322" s="331">
        <f>+IF(SUM($F388:P388)&gt;=Q453*$F$9,0,Q388)</f>
        <v>0</v>
      </c>
      <c r="R322" s="331">
        <f>+IF(SUM($F388:Q388)&gt;=R453*$F$9,0,R388)</f>
        <v>0</v>
      </c>
      <c r="S322" s="331">
        <f>+IF(SUM($F388:R388)&gt;=S453*$F$9,0,S388)</f>
        <v>0</v>
      </c>
      <c r="T322" s="331">
        <f>+IF(SUM($F388:S388)&gt;=T453*$F$9,0,T388)</f>
        <v>0</v>
      </c>
      <c r="U322" s="331">
        <f>+IF(SUM($F388:T388)&gt;=U453*$F$9,0,U388)</f>
        <v>0</v>
      </c>
      <c r="V322" s="331">
        <f>+IF(SUM($F388:U388)&gt;=V453*$F$9,0,V388)</f>
        <v>0</v>
      </c>
      <c r="W322" s="331">
        <f>+IF(SUM($F388:V388)&gt;=W453*$F$9,0,W388)</f>
        <v>0</v>
      </c>
      <c r="X322" s="331">
        <f>+IF(SUM($F388:W388)&gt;=X453*$F$9,0,X388)</f>
        <v>0</v>
      </c>
      <c r="Y322" s="331">
        <f>+IF(SUM($F388:X388)&gt;=Y453*$F$9,0,Y388)</f>
        <v>0</v>
      </c>
      <c r="Z322" s="331">
        <f>+IF(SUM($F388:Y388)&gt;=Z453*$F$9,0,Z388)</f>
        <v>0</v>
      </c>
      <c r="AA322" s="331">
        <f>+IF(SUM($F388:Z388)&gt;=AA453*$F$9,0,AA388)</f>
        <v>0</v>
      </c>
      <c r="AB322" s="331">
        <f>+IF(SUM($F388:AA388)&gt;=AB453*$F$9,0,AB388)</f>
        <v>0</v>
      </c>
      <c r="AC322" s="331">
        <f>+IF(SUM($F388:AB388)&gt;=AC453*$F$9,0,AC388)</f>
        <v>0</v>
      </c>
      <c r="AD322" s="331">
        <f>+IF(SUM($F388:AC388)&gt;=AD453*$F$9,0,AD388)</f>
        <v>0</v>
      </c>
      <c r="AE322" s="331">
        <f>+IF(SUM($F388:AD388)&gt;=AE453*$F$9,0,AE388)</f>
        <v>0</v>
      </c>
      <c r="AF322" s="331">
        <f>+IF(SUM($F388:AE388)&gt;=AF453*$F$9,0,AF388)</f>
        <v>0</v>
      </c>
      <c r="AG322" s="331">
        <f>+IF(SUM($F388:AF388)&gt;=AG453*$F$9,0,AG388)</f>
        <v>0</v>
      </c>
      <c r="AH322" s="331">
        <f>+IF(SUM($F388:AG388)&gt;=AH453*$F$9,0,AH388)</f>
        <v>0</v>
      </c>
      <c r="AI322" s="331">
        <f>+IF(SUM($F388:AH388)&gt;=AI453*$F$9,0,AI388)</f>
        <v>0</v>
      </c>
      <c r="AJ322" s="331">
        <f>+IF(SUM($F388:AI388)&gt;=AJ453*$F$9,0,AJ388)</f>
        <v>0</v>
      </c>
      <c r="AK322" s="331">
        <f>+IF(SUM($F388:AJ388)&gt;=AK453*$F$9,0,AK388)</f>
        <v>0</v>
      </c>
      <c r="AL322" s="331">
        <f>+IF(SUM($F388:AK388)&gt;=AL453*$F$9,0,AL388)</f>
        <v>0</v>
      </c>
      <c r="AM322" s="331">
        <f>+IF(SUM($F388:AL388)&gt;=AM453*$F$9,0,AM388)</f>
        <v>0</v>
      </c>
      <c r="AN322" s="331">
        <f>+IF(SUM($F388:AM388)&gt;=AN453*$F$9,0,AN388)</f>
        <v>0</v>
      </c>
      <c r="AO322" s="331">
        <f>+IF(SUM($F388:AN388)&gt;=AO453*$F$9,0,AO388)</f>
        <v>0</v>
      </c>
      <c r="AP322" s="331">
        <f>+IF(SUM($F388:AO388)&gt;=AP453*$F$9,0,AP388)</f>
        <v>0</v>
      </c>
      <c r="AQ322" s="331">
        <f>+IF(SUM($F388:AP388)&gt;=AQ453*$F$9,0,AQ388)</f>
        <v>0</v>
      </c>
      <c r="AR322" s="331">
        <f>+IF(SUM($F388:AQ388)&gt;=AR453*$F$9,0,AR388)</f>
        <v>0</v>
      </c>
      <c r="AS322" s="331">
        <f>+IF(SUM($F388:AR388)&gt;=AS453*$F$9,0,AS388)</f>
        <v>0</v>
      </c>
      <c r="AT322" s="331">
        <f>+IF(SUM($F388:AS388)&gt;=AT453*$F$9,0,AT388)</f>
        <v>0</v>
      </c>
      <c r="AU322" s="331">
        <f>+IF(SUM($F388:AT388)&gt;=AU453*$F$9,0,AU388)</f>
        <v>0</v>
      </c>
      <c r="AV322" s="331">
        <f>+IF(SUM($F388:AU388)&gt;=AV453*$F$9,0,AV388)</f>
        <v>0</v>
      </c>
      <c r="AW322" s="331">
        <f>+IF(SUM($F388:AV388)&gt;=AW453*$F$9,0,AW388)</f>
        <v>0</v>
      </c>
      <c r="AX322" s="331">
        <f>+IF(SUM($F388:AW388)&gt;=AX453*$F$9,0,AX388)</f>
        <v>0</v>
      </c>
      <c r="AY322" s="331">
        <f>+IF(SUM($F388:AX388)&gt;=AY453*$F$9,0,AY388)</f>
        <v>0</v>
      </c>
      <c r="AZ322" s="331">
        <f>+IF(SUM($F388:AY388)&gt;=AZ453*$F$9,0,AZ388)</f>
        <v>0</v>
      </c>
      <c r="BA322" s="331">
        <f>+IF(SUM($F388:AZ388)&gt;=BA453*$F$9,0,BA388)</f>
        <v>0</v>
      </c>
      <c r="BB322" s="331">
        <f>+IF(SUM($F388:BA388)&gt;=BB453*$F$9,0,BB388)</f>
        <v>0</v>
      </c>
      <c r="BC322" s="331">
        <f>+IF(SUM($F388:BB388)&gt;=BC453*$F$9,0,BC388)</f>
        <v>0</v>
      </c>
      <c r="BD322" s="331">
        <f>+IF(SUM($F388:BC388)&gt;=BD453*$F$9,0,BD388)</f>
        <v>0</v>
      </c>
      <c r="BE322" s="331">
        <f>+IF(SUM($F388:BD388)&gt;=BE453*$F$9,0,BE388)</f>
        <v>0</v>
      </c>
      <c r="BF322" s="331">
        <f>+IF(SUM($F388:BE388)&gt;=BF453*$F$9,0,BF388)</f>
        <v>0</v>
      </c>
      <c r="BG322" s="331">
        <f>+IF(SUM($F388:BF388)&gt;=BG453*$F$9,0,BG388)</f>
        <v>0</v>
      </c>
      <c r="BH322" s="331">
        <f>+IF(SUM($F388:BG388)&gt;=BH453*$F$9,0,BH388)</f>
        <v>0</v>
      </c>
      <c r="BI322" s="331">
        <f>+IF(SUM($F388:BH388)&gt;=BI453*$F$9,0,BI388)</f>
        <v>0</v>
      </c>
      <c r="BJ322" s="331">
        <f>+IF(SUM($F388:BI388)&gt;=BJ453*$F$9,0,BJ388)</f>
        <v>0</v>
      </c>
      <c r="BK322" s="331">
        <f>+IF(SUM($F388:BJ388)&gt;=BK453*$F$9,0,BK388)</f>
        <v>0</v>
      </c>
      <c r="BL322" s="331">
        <f>+IF(SUM($F388:BK388)&gt;=BL453*$F$9,0,BL388)</f>
        <v>0</v>
      </c>
      <c r="BM322" s="331">
        <f>+IF(SUM($F388:BL388)&gt;=BM453*$F$9,0,BM388)</f>
        <v>0</v>
      </c>
    </row>
    <row r="323" spans="5:65" ht="15.75">
      <c r="E323" s="416">
        <f t="shared" si="193"/>
        <v>44985</v>
      </c>
      <c r="F323" s="331">
        <f t="shared" si="192"/>
        <v>0</v>
      </c>
      <c r="G323" s="331">
        <f>+IF(SUM($F389:F389)&gt;=G454*$F$9,0,G389)</f>
        <v>0</v>
      </c>
      <c r="H323" s="331">
        <f>+IF(SUM($F389:G389)&gt;=H454*$F$9,0,H389)</f>
        <v>0</v>
      </c>
      <c r="I323" s="331">
        <f>+IF(SUM($F389:H389)&gt;=I454*$F$9,0,I389)</f>
        <v>0</v>
      </c>
      <c r="J323" s="331">
        <f>+IF(SUM($F389:I389)&gt;=J454*$F$9,0,J389)</f>
        <v>0</v>
      </c>
      <c r="K323" s="331">
        <f>+IF(SUM($F389:J389)&gt;=K454*$F$9,0,K389)</f>
        <v>0</v>
      </c>
      <c r="L323" s="331">
        <f>+IF(SUM($F389:K389)&gt;=L454*$F$9,0,L389)</f>
        <v>0</v>
      </c>
      <c r="M323" s="331">
        <f>+IF(SUM($F389:L389)&gt;=M454*$F$9,0,M389)</f>
        <v>0</v>
      </c>
      <c r="N323" s="331">
        <f>+IF(SUM($F389:M389)&gt;=N454*$F$9,0,N389)</f>
        <v>0</v>
      </c>
      <c r="O323" s="331">
        <f>+IF(SUM($F389:N389)&gt;=O454*$F$9,0,O389)</f>
        <v>0</v>
      </c>
      <c r="P323" s="331">
        <f>+IF(SUM($F389:O389)&gt;=P454*$F$9,0,P389)</f>
        <v>0</v>
      </c>
      <c r="Q323" s="331">
        <f>+IF(SUM($F389:P389)&gt;=Q454*$F$9,0,Q389)</f>
        <v>0</v>
      </c>
      <c r="R323" s="331">
        <f>+IF(SUM($F389:Q389)&gt;=R454*$F$9,0,R389)</f>
        <v>0</v>
      </c>
      <c r="S323" s="331">
        <f>+IF(SUM($F389:R389)&gt;=S454*$F$9,0,S389)</f>
        <v>0</v>
      </c>
      <c r="T323" s="331">
        <f>+IF(SUM($F389:S389)&gt;=T454*$F$9,0,T389)</f>
        <v>0</v>
      </c>
      <c r="U323" s="331">
        <f>+IF(SUM($F389:T389)&gt;=U454*$F$9,0,U389)</f>
        <v>0</v>
      </c>
      <c r="V323" s="331">
        <f>+IF(SUM($F389:U389)&gt;=V454*$F$9,0,V389)</f>
        <v>0</v>
      </c>
      <c r="W323" s="331">
        <f>+IF(SUM($F389:V389)&gt;=W454*$F$9,0,W389)</f>
        <v>0</v>
      </c>
      <c r="X323" s="331">
        <f>+IF(SUM($F389:W389)&gt;=X454*$F$9,0,X389)</f>
        <v>0</v>
      </c>
      <c r="Y323" s="331">
        <f>+IF(SUM($F389:X389)&gt;=Y454*$F$9,0,Y389)</f>
        <v>0</v>
      </c>
      <c r="Z323" s="331">
        <f>+IF(SUM($F389:Y389)&gt;=Z454*$F$9,0,Z389)</f>
        <v>0</v>
      </c>
      <c r="AA323" s="331">
        <f>+IF(SUM($F389:Z389)&gt;=AA454*$F$9,0,AA389)</f>
        <v>0</v>
      </c>
      <c r="AB323" s="331">
        <f>+IF(SUM($F389:AA389)&gt;=AB454*$F$9,0,AB389)</f>
        <v>0</v>
      </c>
      <c r="AC323" s="331">
        <f>+IF(SUM($F389:AB389)&gt;=AC454*$F$9,0,AC389)</f>
        <v>0</v>
      </c>
      <c r="AD323" s="331">
        <f>+IF(SUM($F389:AC389)&gt;=AD454*$F$9,0,AD389)</f>
        <v>0</v>
      </c>
      <c r="AE323" s="331">
        <f>+IF(SUM($F389:AD389)&gt;=AE454*$F$9,0,AE389)</f>
        <v>0</v>
      </c>
      <c r="AF323" s="331">
        <f>+IF(SUM($F389:AE389)&gt;=AF454*$F$9,0,AF389)</f>
        <v>0</v>
      </c>
      <c r="AG323" s="331">
        <f>+IF(SUM($F389:AF389)&gt;=AG454*$F$9,0,AG389)</f>
        <v>0</v>
      </c>
      <c r="AH323" s="331">
        <f>+IF(SUM($F389:AG389)&gt;=AH454*$F$9,0,AH389)</f>
        <v>0</v>
      </c>
      <c r="AI323" s="331">
        <f>+IF(SUM($F389:AH389)&gt;=AI454*$F$9,0,AI389)</f>
        <v>0</v>
      </c>
      <c r="AJ323" s="331">
        <f>+IF(SUM($F389:AI389)&gt;=AJ454*$F$9,0,AJ389)</f>
        <v>0</v>
      </c>
      <c r="AK323" s="331">
        <f>+IF(SUM($F389:AJ389)&gt;=AK454*$F$9,0,AK389)</f>
        <v>0</v>
      </c>
      <c r="AL323" s="331">
        <f>+IF(SUM($F389:AK389)&gt;=AL454*$F$9,0,AL389)</f>
        <v>0</v>
      </c>
      <c r="AM323" s="331">
        <f>+IF(SUM($F389:AL389)&gt;=AM454*$F$9,0,AM389)</f>
        <v>0</v>
      </c>
      <c r="AN323" s="331">
        <f>+IF(SUM($F389:AM389)&gt;=AN454*$F$9,0,AN389)</f>
        <v>0</v>
      </c>
      <c r="AO323" s="331">
        <f>+IF(SUM($F389:AN389)&gt;=AO454*$F$9,0,AO389)</f>
        <v>0</v>
      </c>
      <c r="AP323" s="331">
        <f>+IF(SUM($F389:AO389)&gt;=AP454*$F$9,0,AP389)</f>
        <v>0</v>
      </c>
      <c r="AQ323" s="331">
        <f>+IF(SUM($F389:AP389)&gt;=AQ454*$F$9,0,AQ389)</f>
        <v>0</v>
      </c>
      <c r="AR323" s="331">
        <f>+IF(SUM($F389:AQ389)&gt;=AR454*$F$9,0,AR389)</f>
        <v>0</v>
      </c>
      <c r="AS323" s="331">
        <f>+IF(SUM($F389:AR389)&gt;=AS454*$F$9,0,AS389)</f>
        <v>0</v>
      </c>
      <c r="AT323" s="331">
        <f>+IF(SUM($F389:AS389)&gt;=AT454*$F$9,0,AT389)</f>
        <v>0</v>
      </c>
      <c r="AU323" s="331">
        <f>+IF(SUM($F389:AT389)&gt;=AU454*$F$9,0,AU389)</f>
        <v>0</v>
      </c>
      <c r="AV323" s="331">
        <f>+IF(SUM($F389:AU389)&gt;=AV454*$F$9,0,AV389)</f>
        <v>0</v>
      </c>
      <c r="AW323" s="331">
        <f>+IF(SUM($F389:AV389)&gt;=AW454*$F$9,0,AW389)</f>
        <v>0</v>
      </c>
      <c r="AX323" s="331">
        <f>+IF(SUM($F389:AW389)&gt;=AX454*$F$9,0,AX389)</f>
        <v>0</v>
      </c>
      <c r="AY323" s="331">
        <f>+IF(SUM($F389:AX389)&gt;=AY454*$F$9,0,AY389)</f>
        <v>0</v>
      </c>
      <c r="AZ323" s="331">
        <f>+IF(SUM($F389:AY389)&gt;=AZ454*$F$9,0,AZ389)</f>
        <v>0</v>
      </c>
      <c r="BA323" s="331">
        <f>+IF(SUM($F389:AZ389)&gt;=BA454*$F$9,0,BA389)</f>
        <v>0</v>
      </c>
      <c r="BB323" s="331">
        <f>+IF(SUM($F389:BA389)&gt;=BB454*$F$9,0,BB389)</f>
        <v>0</v>
      </c>
      <c r="BC323" s="331">
        <f>+IF(SUM($F389:BB389)&gt;=BC454*$F$9,0,BC389)</f>
        <v>0</v>
      </c>
      <c r="BD323" s="331">
        <f>+IF(SUM($F389:BC389)&gt;=BD454*$F$9,0,BD389)</f>
        <v>0</v>
      </c>
      <c r="BE323" s="331">
        <f>+IF(SUM($F389:BD389)&gt;=BE454*$F$9,0,BE389)</f>
        <v>0</v>
      </c>
      <c r="BF323" s="331">
        <f>+IF(SUM($F389:BE389)&gt;=BF454*$F$9,0,BF389)</f>
        <v>0</v>
      </c>
      <c r="BG323" s="331">
        <f>+IF(SUM($F389:BF389)&gt;=BG454*$F$9,0,BG389)</f>
        <v>0</v>
      </c>
      <c r="BH323" s="331">
        <f>+IF(SUM($F389:BG389)&gt;=BH454*$F$9,0,BH389)</f>
        <v>0</v>
      </c>
      <c r="BI323" s="331">
        <f>+IF(SUM($F389:BH389)&gt;=BI454*$F$9,0,BI389)</f>
        <v>0</v>
      </c>
      <c r="BJ323" s="331">
        <f>+IF(SUM($F389:BI389)&gt;=BJ454*$F$9,0,BJ389)</f>
        <v>0</v>
      </c>
      <c r="BK323" s="331">
        <f>+IF(SUM($F389:BJ389)&gt;=BK454*$F$9,0,BK389)</f>
        <v>0</v>
      </c>
      <c r="BL323" s="331">
        <f>+IF(SUM($F389:BK389)&gt;=BL454*$F$9,0,BL389)</f>
        <v>0</v>
      </c>
      <c r="BM323" s="331">
        <f>+IF(SUM($F389:BL389)&gt;=BM454*$F$9,0,BM389)</f>
        <v>0</v>
      </c>
    </row>
    <row r="324" spans="5:65" ht="15.75">
      <c r="E324" s="416">
        <f t="shared" si="193"/>
        <v>45016</v>
      </c>
      <c r="F324" s="331">
        <f t="shared" si="192"/>
        <v>0</v>
      </c>
      <c r="G324" s="331">
        <f>+IF(SUM($F390:F390)&gt;=G455*$F$9,0,G390)</f>
        <v>0</v>
      </c>
      <c r="H324" s="331">
        <f>+IF(SUM($F390:G390)&gt;=H455*$F$9,0,H390)</f>
        <v>0</v>
      </c>
      <c r="I324" s="331">
        <f>+IF(SUM($F390:H390)&gt;=I455*$F$9,0,I390)</f>
        <v>0</v>
      </c>
      <c r="J324" s="331">
        <f>+IF(SUM($F390:I390)&gt;=J455*$F$9,0,J390)</f>
        <v>0</v>
      </c>
      <c r="K324" s="331">
        <f>+IF(SUM($F390:J390)&gt;=K455*$F$9,0,K390)</f>
        <v>0</v>
      </c>
      <c r="L324" s="331">
        <f>+IF(SUM($F390:K390)&gt;=L455*$F$9,0,L390)</f>
        <v>0</v>
      </c>
      <c r="M324" s="331">
        <f>+IF(SUM($F390:L390)&gt;=M455*$F$9,0,M390)</f>
        <v>0</v>
      </c>
      <c r="N324" s="331">
        <f>+IF(SUM($F390:M390)&gt;=N455*$F$9,0,N390)</f>
        <v>0</v>
      </c>
      <c r="O324" s="331">
        <f>+IF(SUM($F390:N390)&gt;=O455*$F$9,0,O390)</f>
        <v>0</v>
      </c>
      <c r="P324" s="331">
        <f>+IF(SUM($F390:O390)&gt;=P455*$F$9,0,P390)</f>
        <v>0</v>
      </c>
      <c r="Q324" s="331">
        <f>+IF(SUM($F390:P390)&gt;=Q455*$F$9,0,Q390)</f>
        <v>0</v>
      </c>
      <c r="R324" s="331">
        <f>+IF(SUM($F390:Q390)&gt;=R455*$F$9,0,R390)</f>
        <v>0</v>
      </c>
      <c r="S324" s="331">
        <f>+IF(SUM($F390:R390)&gt;=S455*$F$9,0,S390)</f>
        <v>0</v>
      </c>
      <c r="T324" s="331">
        <f>+IF(SUM($F390:S390)&gt;=T455*$F$9,0,T390)</f>
        <v>0</v>
      </c>
      <c r="U324" s="331">
        <f>+IF(SUM($F390:T390)&gt;=U455*$F$9,0,U390)</f>
        <v>0</v>
      </c>
      <c r="V324" s="331">
        <f>+IF(SUM($F390:U390)&gt;=V455*$F$9,0,V390)</f>
        <v>0</v>
      </c>
      <c r="W324" s="331">
        <f>+IF(SUM($F390:V390)&gt;=W455*$F$9,0,W390)</f>
        <v>0</v>
      </c>
      <c r="X324" s="331">
        <f>+IF(SUM($F390:W390)&gt;=X455*$F$9,0,X390)</f>
        <v>0</v>
      </c>
      <c r="Y324" s="331">
        <f>+IF(SUM($F390:X390)&gt;=Y455*$F$9,0,Y390)</f>
        <v>0</v>
      </c>
      <c r="Z324" s="331">
        <f>+IF(SUM($F390:Y390)&gt;=Z455*$F$9,0,Z390)</f>
        <v>0</v>
      </c>
      <c r="AA324" s="331">
        <f>+IF(SUM($F390:Z390)&gt;=AA455*$F$9,0,AA390)</f>
        <v>0</v>
      </c>
      <c r="AB324" s="331">
        <f>+IF(SUM($F390:AA390)&gt;=AB455*$F$9,0,AB390)</f>
        <v>0</v>
      </c>
      <c r="AC324" s="331">
        <f>+IF(SUM($F390:AB390)&gt;=AC455*$F$9,0,AC390)</f>
        <v>0</v>
      </c>
      <c r="AD324" s="331">
        <f>+IF(SUM($F390:AC390)&gt;=AD455*$F$9,0,AD390)</f>
        <v>0</v>
      </c>
      <c r="AE324" s="331">
        <f>+IF(SUM($F390:AD390)&gt;=AE455*$F$9,0,AE390)</f>
        <v>0</v>
      </c>
      <c r="AF324" s="331">
        <f>+IF(SUM($F390:AE390)&gt;=AF455*$F$9,0,AF390)</f>
        <v>0</v>
      </c>
      <c r="AG324" s="331">
        <f>+IF(SUM($F390:AF390)&gt;=AG455*$F$9,0,AG390)</f>
        <v>0</v>
      </c>
      <c r="AH324" s="331">
        <f>+IF(SUM($F390:AG390)&gt;=AH455*$F$9,0,AH390)</f>
        <v>0</v>
      </c>
      <c r="AI324" s="331">
        <f>+IF(SUM($F390:AH390)&gt;=AI455*$F$9,0,AI390)</f>
        <v>0</v>
      </c>
      <c r="AJ324" s="331">
        <f>+IF(SUM($F390:AI390)&gt;=AJ455*$F$9,0,AJ390)</f>
        <v>0</v>
      </c>
      <c r="AK324" s="331">
        <f>+IF(SUM($F390:AJ390)&gt;=AK455*$F$9,0,AK390)</f>
        <v>0</v>
      </c>
      <c r="AL324" s="331">
        <f>+IF(SUM($F390:AK390)&gt;=AL455*$F$9,0,AL390)</f>
        <v>0</v>
      </c>
      <c r="AM324" s="331">
        <f>+IF(SUM($F390:AL390)&gt;=AM455*$F$9,0,AM390)</f>
        <v>0</v>
      </c>
      <c r="AN324" s="331">
        <f>+IF(SUM($F390:AM390)&gt;=AN455*$F$9,0,AN390)</f>
        <v>0</v>
      </c>
      <c r="AO324" s="331">
        <f>+IF(SUM($F390:AN390)&gt;=AO455*$F$9,0,AO390)</f>
        <v>0</v>
      </c>
      <c r="AP324" s="331">
        <f>+IF(SUM($F390:AO390)&gt;=AP455*$F$9,0,AP390)</f>
        <v>0</v>
      </c>
      <c r="AQ324" s="331">
        <f>+IF(SUM($F390:AP390)&gt;=AQ455*$F$9,0,AQ390)</f>
        <v>0</v>
      </c>
      <c r="AR324" s="331">
        <f>+IF(SUM($F390:AQ390)&gt;=AR455*$F$9,0,AR390)</f>
        <v>0</v>
      </c>
      <c r="AS324" s="331">
        <f>+IF(SUM($F390:AR390)&gt;=AS455*$F$9,0,AS390)</f>
        <v>0</v>
      </c>
      <c r="AT324" s="331">
        <f>+IF(SUM($F390:AS390)&gt;=AT455*$F$9,0,AT390)</f>
        <v>0</v>
      </c>
      <c r="AU324" s="331">
        <f>+IF(SUM($F390:AT390)&gt;=AU455*$F$9,0,AU390)</f>
        <v>0</v>
      </c>
      <c r="AV324" s="331">
        <f>+IF(SUM($F390:AU390)&gt;=AV455*$F$9,0,AV390)</f>
        <v>0</v>
      </c>
      <c r="AW324" s="331">
        <f>+IF(SUM($F390:AV390)&gt;=AW455*$F$9,0,AW390)</f>
        <v>0</v>
      </c>
      <c r="AX324" s="331">
        <f>+IF(SUM($F390:AW390)&gt;=AX455*$F$9,0,AX390)</f>
        <v>0</v>
      </c>
      <c r="AY324" s="331">
        <f>+IF(SUM($F390:AX390)&gt;=AY455*$F$9,0,AY390)</f>
        <v>0</v>
      </c>
      <c r="AZ324" s="331">
        <f>+IF(SUM($F390:AY390)&gt;=AZ455*$F$9,0,AZ390)</f>
        <v>0</v>
      </c>
      <c r="BA324" s="331">
        <f>+IF(SUM($F390:AZ390)&gt;=BA455*$F$9,0,BA390)</f>
        <v>0</v>
      </c>
      <c r="BB324" s="331">
        <f>+IF(SUM($F390:BA390)&gt;=BB455*$F$9,0,BB390)</f>
        <v>0</v>
      </c>
      <c r="BC324" s="331">
        <f>+IF(SUM($F390:BB390)&gt;=BC455*$F$9,0,BC390)</f>
        <v>0</v>
      </c>
      <c r="BD324" s="331">
        <f>+IF(SUM($F390:BC390)&gt;=BD455*$F$9,0,BD390)</f>
        <v>0</v>
      </c>
      <c r="BE324" s="331">
        <f>+IF(SUM($F390:BD390)&gt;=BE455*$F$9,0,BE390)</f>
        <v>0</v>
      </c>
      <c r="BF324" s="331">
        <f>+IF(SUM($F390:BE390)&gt;=BF455*$F$9,0,BF390)</f>
        <v>0</v>
      </c>
      <c r="BG324" s="331">
        <f>+IF(SUM($F390:BF390)&gt;=BG455*$F$9,0,BG390)</f>
        <v>0</v>
      </c>
      <c r="BH324" s="331">
        <f>+IF(SUM($F390:BG390)&gt;=BH455*$F$9,0,BH390)</f>
        <v>0</v>
      </c>
      <c r="BI324" s="331">
        <f>+IF(SUM($F390:BH390)&gt;=BI455*$F$9,0,BI390)</f>
        <v>0</v>
      </c>
      <c r="BJ324" s="331">
        <f>+IF(SUM($F390:BI390)&gt;=BJ455*$F$9,0,BJ390)</f>
        <v>0</v>
      </c>
      <c r="BK324" s="331">
        <f>+IF(SUM($F390:BJ390)&gt;=BK455*$F$9,0,BK390)</f>
        <v>0</v>
      </c>
      <c r="BL324" s="331">
        <f>+IF(SUM($F390:BK390)&gt;=BL455*$F$9,0,BL390)</f>
        <v>0</v>
      </c>
      <c r="BM324" s="331">
        <f>+IF(SUM($F390:BL390)&gt;=BM455*$F$9,0,BM390)</f>
        <v>0</v>
      </c>
    </row>
    <row r="325" spans="5:65" ht="15.75">
      <c r="E325" s="416">
        <f>+E324+10</f>
        <v>45026</v>
      </c>
      <c r="F325" s="331">
        <f t="shared" si="192"/>
        <v>0</v>
      </c>
      <c r="G325" s="331">
        <f>+IF(SUM($F391:F391)&gt;=G456*$F$9,0,G391)</f>
        <v>0</v>
      </c>
      <c r="H325" s="331">
        <f>+IF(SUM($F391:G391)&gt;=H456*$F$9,0,H391)</f>
        <v>0</v>
      </c>
      <c r="I325" s="331">
        <f>+IF(SUM($F391:H391)&gt;=I456*$F$9,0,I391)</f>
        <v>0</v>
      </c>
      <c r="J325" s="331">
        <f>+IF(SUM($F391:I391)&gt;=J456*$F$9,0,J391)</f>
        <v>0</v>
      </c>
      <c r="K325" s="331">
        <f>+IF(SUM($F391:J391)&gt;=K456*$F$9,0,K391)</f>
        <v>0</v>
      </c>
      <c r="L325" s="331">
        <f>+IF(SUM($F391:K391)&gt;=L456*$F$9,0,L391)</f>
        <v>0</v>
      </c>
      <c r="M325" s="331">
        <f>+IF(SUM($F391:L391)&gt;=M456*$F$9,0,M391)</f>
        <v>0</v>
      </c>
      <c r="N325" s="331">
        <f>+IF(SUM($F391:M391)&gt;=N456*$F$9,0,N391)</f>
        <v>0</v>
      </c>
      <c r="O325" s="331">
        <f>+IF(SUM($F391:N391)&gt;=O456*$F$9,0,O391)</f>
        <v>0</v>
      </c>
      <c r="P325" s="331">
        <f>+IF(SUM($F391:O391)&gt;=P456*$F$9,0,P391)</f>
        <v>0</v>
      </c>
      <c r="Q325" s="331">
        <f>+IF(SUM($F391:P391)&gt;=Q456*$F$9,0,Q391)</f>
        <v>0</v>
      </c>
      <c r="R325" s="331">
        <f>+IF(SUM($F391:Q391)&gt;=R456*$F$9,0,R391)</f>
        <v>0</v>
      </c>
      <c r="S325" s="331">
        <f>+IF(SUM($F391:R391)&gt;=S456*$F$9,0,S391)</f>
        <v>0</v>
      </c>
      <c r="T325" s="331">
        <f>+IF(SUM($F391:S391)&gt;=T456*$F$9,0,T391)</f>
        <v>0</v>
      </c>
      <c r="U325" s="331">
        <f>+IF(SUM($F391:T391)&gt;=U456*$F$9,0,U391)</f>
        <v>0</v>
      </c>
      <c r="V325" s="331">
        <f>+IF(SUM($F391:U391)&gt;=V456*$F$9,0,V391)</f>
        <v>0</v>
      </c>
      <c r="W325" s="331">
        <f>+IF(SUM($F391:V391)&gt;=W456*$F$9,0,W391)</f>
        <v>0</v>
      </c>
      <c r="X325" s="331">
        <f>+IF(SUM($F391:W391)&gt;=X456*$F$9,0,X391)</f>
        <v>0</v>
      </c>
      <c r="Y325" s="331">
        <f>+IF(SUM($F391:X391)&gt;=Y456*$F$9,0,Y391)</f>
        <v>0</v>
      </c>
      <c r="Z325" s="331">
        <f>+IF(SUM($F391:Y391)&gt;=Z456*$F$9,0,Z391)</f>
        <v>0</v>
      </c>
      <c r="AA325" s="331">
        <f>+IF(SUM($F391:Z391)&gt;=AA456*$F$9,0,AA391)</f>
        <v>0</v>
      </c>
      <c r="AB325" s="331">
        <f>+IF(SUM($F391:AA391)&gt;=AB456*$F$9,0,AB391)</f>
        <v>0</v>
      </c>
      <c r="AC325" s="331">
        <f>+IF(SUM($F391:AB391)&gt;=AC456*$F$9,0,AC391)</f>
        <v>0</v>
      </c>
      <c r="AD325" s="331">
        <f>+IF(SUM($F391:AC391)&gt;=AD456*$F$9,0,AD391)</f>
        <v>0</v>
      </c>
      <c r="AE325" s="331">
        <f>+IF(SUM($F391:AD391)&gt;=AE456*$F$9,0,AE391)</f>
        <v>0</v>
      </c>
      <c r="AF325" s="331">
        <f>+IF(SUM($F391:AE391)&gt;=AF456*$F$9,0,AF391)</f>
        <v>0</v>
      </c>
      <c r="AG325" s="331">
        <f>+IF(SUM($F391:AF391)&gt;=AG456*$F$9,0,AG391)</f>
        <v>0</v>
      </c>
      <c r="AH325" s="331">
        <f>+IF(SUM($F391:AG391)&gt;=AH456*$F$9,0,AH391)</f>
        <v>0</v>
      </c>
      <c r="AI325" s="331">
        <f>+IF(SUM($F391:AH391)&gt;=AI456*$F$9,0,AI391)</f>
        <v>0</v>
      </c>
      <c r="AJ325" s="331">
        <f>+IF(SUM($F391:AI391)&gt;=AJ456*$F$9,0,AJ391)</f>
        <v>0</v>
      </c>
      <c r="AK325" s="331">
        <f>+IF(SUM($F391:AJ391)&gt;=AK456*$F$9,0,AK391)</f>
        <v>0</v>
      </c>
      <c r="AL325" s="331">
        <f>+IF(SUM($F391:AK391)&gt;=AL456*$F$9,0,AL391)</f>
        <v>0</v>
      </c>
      <c r="AM325" s="331">
        <f>+IF(SUM($F391:AL391)&gt;=AM456*$F$9,0,AM391)</f>
        <v>0</v>
      </c>
      <c r="AN325" s="331">
        <f>+IF(SUM($F391:AM391)&gt;=AN456*$F$9,0,AN391)</f>
        <v>0</v>
      </c>
      <c r="AO325" s="331">
        <f>+IF(SUM($F391:AN391)&gt;=AO456*$F$9,0,AO391)</f>
        <v>0</v>
      </c>
      <c r="AP325" s="331">
        <f>+IF(SUM($F391:AO391)&gt;=AP456*$F$9,0,AP391)</f>
        <v>0</v>
      </c>
      <c r="AQ325" s="331">
        <f>+IF(SUM($F391:AP391)&gt;=AQ456*$F$9,0,AQ391)</f>
        <v>0</v>
      </c>
      <c r="AR325" s="331">
        <f>+IF(SUM($F391:AQ391)&gt;=AR456*$F$9,0,AR391)</f>
        <v>0</v>
      </c>
      <c r="AS325" s="331">
        <f>+IF(SUM($F391:AR391)&gt;=AS456*$F$9,0,AS391)</f>
        <v>0</v>
      </c>
      <c r="AT325" s="331">
        <f>+IF(SUM($F391:AS391)&gt;=AT456*$F$9,0,AT391)</f>
        <v>0</v>
      </c>
      <c r="AU325" s="331">
        <f>+IF(SUM($F391:AT391)&gt;=AU456*$F$9,0,AU391)</f>
        <v>0</v>
      </c>
      <c r="AV325" s="331">
        <f>+IF(SUM($F391:AU391)&gt;=AV456*$F$9,0,AV391)</f>
        <v>0</v>
      </c>
      <c r="AW325" s="331">
        <f>+IF(SUM($F391:AV391)&gt;=AW456*$F$9,0,AW391)</f>
        <v>0</v>
      </c>
      <c r="AX325" s="331">
        <f>+IF(SUM($F391:AW391)&gt;=AX456*$F$9,0,AX391)</f>
        <v>0</v>
      </c>
      <c r="AY325" s="331">
        <f>+IF(SUM($F391:AX391)&gt;=AY456*$F$9,0,AY391)</f>
        <v>0</v>
      </c>
      <c r="AZ325" s="331">
        <f>+IF(SUM($F391:AY391)&gt;=AZ456*$F$9,0,AZ391)</f>
        <v>0</v>
      </c>
      <c r="BA325" s="331">
        <f>+IF(SUM($F391:AZ391)&gt;=BA456*$F$9,0,BA391)</f>
        <v>0</v>
      </c>
      <c r="BB325" s="331">
        <f>+IF(SUM($F391:BA391)&gt;=BB456*$F$9,0,BB391)</f>
        <v>0</v>
      </c>
      <c r="BC325" s="331">
        <f>+IF(SUM($F391:BB391)&gt;=BC456*$F$9,0,BC391)</f>
        <v>0</v>
      </c>
      <c r="BD325" s="331">
        <f>+IF(SUM($F391:BC391)&gt;=BD456*$F$9,0,BD391)</f>
        <v>0</v>
      </c>
      <c r="BE325" s="331">
        <f>+IF(SUM($F391:BD391)&gt;=BE456*$F$9,0,BE391)</f>
        <v>0</v>
      </c>
      <c r="BF325" s="331">
        <f>+IF(SUM($F391:BE391)&gt;=BF456*$F$9,0,BF391)</f>
        <v>0</v>
      </c>
      <c r="BG325" s="331">
        <f>+IF(SUM($F391:BF391)&gt;=BG456*$F$9,0,BG391)</f>
        <v>0</v>
      </c>
      <c r="BH325" s="331">
        <f>+IF(SUM($F391:BG391)&gt;=BH456*$F$9,0,BH391)</f>
        <v>0</v>
      </c>
      <c r="BI325" s="331">
        <f>+IF(SUM($F391:BH391)&gt;=BI456*$F$9,0,BI391)</f>
        <v>0</v>
      </c>
      <c r="BJ325" s="331">
        <f>+IF(SUM($F391:BI391)&gt;=BJ456*$F$9,0,BJ391)</f>
        <v>0</v>
      </c>
      <c r="BK325" s="331">
        <f>+IF(SUM($F391:BJ391)&gt;=BK456*$F$9,0,BK391)</f>
        <v>0</v>
      </c>
      <c r="BL325" s="331">
        <f>+IF(SUM($F391:BK391)&gt;=BL456*$F$9,0,BL391)</f>
        <v>0</v>
      </c>
      <c r="BM325" s="331">
        <f>+IF(SUM($F391:BL391)&gt;=BM456*$F$9,0,BM391)</f>
        <v>0</v>
      </c>
    </row>
    <row r="326" spans="5:65" ht="15.75">
      <c r="E326" s="416">
        <f t="shared" si="193"/>
        <v>45057</v>
      </c>
      <c r="F326" s="331">
        <f t="shared" si="192"/>
        <v>0</v>
      </c>
      <c r="G326" s="331">
        <f>+IF(SUM($F392:F392)&gt;=G457*$F$9,0,G392)</f>
        <v>0</v>
      </c>
      <c r="H326" s="331">
        <f>+IF(SUM($F392:G392)&gt;=H457*$F$9,0,H392)</f>
        <v>0</v>
      </c>
      <c r="I326" s="331">
        <f>+IF(SUM($F392:H392)&gt;=I457*$F$9,0,I392)</f>
        <v>0</v>
      </c>
      <c r="J326" s="331">
        <f>+IF(SUM($F392:I392)&gt;=J457*$F$9,0,J392)</f>
        <v>0</v>
      </c>
      <c r="K326" s="331">
        <f>+IF(SUM($F392:J392)&gt;=K457*$F$9,0,K392)</f>
        <v>0</v>
      </c>
      <c r="L326" s="331">
        <f>+IF(SUM($F392:K392)&gt;=L457*$F$9,0,L392)</f>
        <v>0</v>
      </c>
      <c r="M326" s="331">
        <f>+IF(SUM($F392:L392)&gt;=M457*$F$9,0,M392)</f>
        <v>0</v>
      </c>
      <c r="N326" s="331">
        <f>+IF(SUM($F392:M392)&gt;=N457*$F$9,0,N392)</f>
        <v>0</v>
      </c>
      <c r="O326" s="331">
        <f>+IF(SUM($F392:N392)&gt;=O457*$F$9,0,O392)</f>
        <v>0</v>
      </c>
      <c r="P326" s="331">
        <f>+IF(SUM($F392:O392)&gt;=P457*$F$9,0,P392)</f>
        <v>0</v>
      </c>
      <c r="Q326" s="331">
        <f>+IF(SUM($F392:P392)&gt;=Q457*$F$9,0,Q392)</f>
        <v>0</v>
      </c>
      <c r="R326" s="331">
        <f>+IF(SUM($F392:Q392)&gt;=R457*$F$9,0,R392)</f>
        <v>0</v>
      </c>
      <c r="S326" s="331">
        <f>+IF(SUM($F392:R392)&gt;=S457*$F$9,0,S392)</f>
        <v>0</v>
      </c>
      <c r="T326" s="331">
        <f>+IF(SUM($F392:S392)&gt;=T457*$F$9,0,T392)</f>
        <v>0</v>
      </c>
      <c r="U326" s="331">
        <f>+IF(SUM($F392:T392)&gt;=U457*$F$9,0,U392)</f>
        <v>0</v>
      </c>
      <c r="V326" s="331">
        <f>+IF(SUM($F392:U392)&gt;=V457*$F$9,0,V392)</f>
        <v>0</v>
      </c>
      <c r="W326" s="331">
        <f>+IF(SUM($F392:V392)&gt;=W457*$F$9,0,W392)</f>
        <v>0</v>
      </c>
      <c r="X326" s="331">
        <f>+IF(SUM($F392:W392)&gt;=X457*$F$9,0,X392)</f>
        <v>0</v>
      </c>
      <c r="Y326" s="331">
        <f>+IF(SUM($F392:X392)&gt;=Y457*$F$9,0,Y392)</f>
        <v>0</v>
      </c>
      <c r="Z326" s="331">
        <f>+IF(SUM($F392:Y392)&gt;=Z457*$F$9,0,Z392)</f>
        <v>0</v>
      </c>
      <c r="AA326" s="331">
        <f>+IF(SUM($F392:Z392)&gt;=AA457*$F$9,0,AA392)</f>
        <v>0</v>
      </c>
      <c r="AB326" s="331">
        <f>+IF(SUM($F392:AA392)&gt;=AB457*$F$9,0,AB392)</f>
        <v>0</v>
      </c>
      <c r="AC326" s="331">
        <f>+IF(SUM($F392:AB392)&gt;=AC457*$F$9,0,AC392)</f>
        <v>0</v>
      </c>
      <c r="AD326" s="331">
        <f>+IF(SUM($F392:AC392)&gt;=AD457*$F$9,0,AD392)</f>
        <v>0</v>
      </c>
      <c r="AE326" s="331">
        <f>+IF(SUM($F392:AD392)&gt;=AE457*$F$9,0,AE392)</f>
        <v>0</v>
      </c>
      <c r="AF326" s="331">
        <f>+IF(SUM($F392:AE392)&gt;=AF457*$F$9,0,AF392)</f>
        <v>0</v>
      </c>
      <c r="AG326" s="331">
        <f>+IF(SUM($F392:AF392)&gt;=AG457*$F$9,0,AG392)</f>
        <v>0</v>
      </c>
      <c r="AH326" s="331">
        <f>+IF(SUM($F392:AG392)&gt;=AH457*$F$9,0,AH392)</f>
        <v>0</v>
      </c>
      <c r="AI326" s="331">
        <f>+IF(SUM($F392:AH392)&gt;=AI457*$F$9,0,AI392)</f>
        <v>0</v>
      </c>
      <c r="AJ326" s="331">
        <f>+IF(SUM($F392:AI392)&gt;=AJ457*$F$9,0,AJ392)</f>
        <v>0</v>
      </c>
      <c r="AK326" s="331">
        <f>+IF(SUM($F392:AJ392)&gt;=AK457*$F$9,0,AK392)</f>
        <v>0</v>
      </c>
      <c r="AL326" s="331">
        <f>+IF(SUM($F392:AK392)&gt;=AL457*$F$9,0,AL392)</f>
        <v>0</v>
      </c>
      <c r="AM326" s="331">
        <f>+IF(SUM($F392:AL392)&gt;=AM457*$F$9,0,AM392)</f>
        <v>0</v>
      </c>
      <c r="AN326" s="331">
        <f>+IF(SUM($F392:AM392)&gt;=AN457*$F$9,0,AN392)</f>
        <v>0</v>
      </c>
      <c r="AO326" s="331">
        <f>+IF(SUM($F392:AN392)&gt;=AO457*$F$9,0,AO392)</f>
        <v>0</v>
      </c>
      <c r="AP326" s="331">
        <f>+IF(SUM($F392:AO392)&gt;=AP457*$F$9,0,AP392)</f>
        <v>0</v>
      </c>
      <c r="AQ326" s="331">
        <f>+IF(SUM($F392:AP392)&gt;=AQ457*$F$9,0,AQ392)</f>
        <v>0</v>
      </c>
      <c r="AR326" s="331">
        <f>+IF(SUM($F392:AQ392)&gt;=AR457*$F$9,0,AR392)</f>
        <v>0</v>
      </c>
      <c r="AS326" s="331">
        <f>+IF(SUM($F392:AR392)&gt;=AS457*$F$9,0,AS392)</f>
        <v>0</v>
      </c>
      <c r="AT326" s="331">
        <f>+IF(SUM($F392:AS392)&gt;=AT457*$F$9,0,AT392)</f>
        <v>0</v>
      </c>
      <c r="AU326" s="331">
        <f>+IF(SUM($F392:AT392)&gt;=AU457*$F$9,0,AU392)</f>
        <v>0</v>
      </c>
      <c r="AV326" s="331">
        <f>+IF(SUM($F392:AU392)&gt;=AV457*$F$9,0,AV392)</f>
        <v>0</v>
      </c>
      <c r="AW326" s="331">
        <f>+IF(SUM($F392:AV392)&gt;=AW457*$F$9,0,AW392)</f>
        <v>0</v>
      </c>
      <c r="AX326" s="331">
        <f>+IF(SUM($F392:AW392)&gt;=AX457*$F$9,0,AX392)</f>
        <v>0</v>
      </c>
      <c r="AY326" s="331">
        <f>+IF(SUM($F392:AX392)&gt;=AY457*$F$9,0,AY392)</f>
        <v>0</v>
      </c>
      <c r="AZ326" s="331">
        <f>+IF(SUM($F392:AY392)&gt;=AZ457*$F$9,0,AZ392)</f>
        <v>0</v>
      </c>
      <c r="BA326" s="331">
        <f>+IF(SUM($F392:AZ392)&gt;=BA457*$F$9,0,BA392)</f>
        <v>0</v>
      </c>
      <c r="BB326" s="331">
        <f>+IF(SUM($F392:BA392)&gt;=BB457*$F$9,0,BB392)</f>
        <v>0</v>
      </c>
      <c r="BC326" s="331">
        <f>+IF(SUM($F392:BB392)&gt;=BC457*$F$9,0,BC392)</f>
        <v>0</v>
      </c>
      <c r="BD326" s="331">
        <f>+IF(SUM($F392:BC392)&gt;=BD457*$F$9,0,BD392)</f>
        <v>0</v>
      </c>
      <c r="BE326" s="331">
        <f>+IF(SUM($F392:BD392)&gt;=BE457*$F$9,0,BE392)</f>
        <v>0</v>
      </c>
      <c r="BF326" s="331">
        <f>+IF(SUM($F392:BE392)&gt;=BF457*$F$9,0,BF392)</f>
        <v>0</v>
      </c>
      <c r="BG326" s="331">
        <f>+IF(SUM($F392:BF392)&gt;=BG457*$F$9,0,BG392)</f>
        <v>0</v>
      </c>
      <c r="BH326" s="331">
        <f>+IF(SUM($F392:BG392)&gt;=BH457*$F$9,0,BH392)</f>
        <v>0</v>
      </c>
      <c r="BI326" s="331">
        <f>+IF(SUM($F392:BH392)&gt;=BI457*$F$9,0,BI392)</f>
        <v>0</v>
      </c>
      <c r="BJ326" s="331">
        <f>+IF(SUM($F392:BI392)&gt;=BJ457*$F$9,0,BJ392)</f>
        <v>0</v>
      </c>
      <c r="BK326" s="331">
        <f>+IF(SUM($F392:BJ392)&gt;=BK457*$F$9,0,BK392)</f>
        <v>0</v>
      </c>
      <c r="BL326" s="331">
        <f>+IF(SUM($F392:BK392)&gt;=BL457*$F$9,0,BL392)</f>
        <v>0</v>
      </c>
      <c r="BM326" s="331">
        <f>+IF(SUM($F392:BL392)&gt;=BM457*$F$9,0,BM392)</f>
        <v>0</v>
      </c>
    </row>
    <row r="327" spans="5:65" ht="15.75">
      <c r="E327" s="416">
        <f t="shared" si="193"/>
        <v>45088</v>
      </c>
      <c r="F327" s="331">
        <f t="shared" si="192"/>
        <v>0</v>
      </c>
      <c r="G327" s="331">
        <f>+IF(SUM($F393:F393)&gt;=G458*$F$9,0,G393)</f>
        <v>0</v>
      </c>
      <c r="H327" s="331">
        <f>+IF(SUM($F393:G393)&gt;=H458*$F$9,0,H393)</f>
        <v>0</v>
      </c>
      <c r="I327" s="331">
        <f>+IF(SUM($F393:H393)&gt;=I458*$F$9,0,I393)</f>
        <v>0</v>
      </c>
      <c r="J327" s="331">
        <f>+IF(SUM($F393:I393)&gt;=J458*$F$9,0,J393)</f>
        <v>0</v>
      </c>
      <c r="K327" s="331">
        <f>+IF(SUM($F393:J393)&gt;=K458*$F$9,0,K393)</f>
        <v>0</v>
      </c>
      <c r="L327" s="331">
        <f>+IF(SUM($F393:K393)&gt;=L458*$F$9,0,L393)</f>
        <v>0</v>
      </c>
      <c r="M327" s="331">
        <f>+IF(SUM($F393:L393)&gt;=M458*$F$9,0,M393)</f>
        <v>0</v>
      </c>
      <c r="N327" s="331">
        <f>+IF(SUM($F393:M393)&gt;=N458*$F$9,0,N393)</f>
        <v>0</v>
      </c>
      <c r="O327" s="331">
        <f>+IF(SUM($F393:N393)&gt;=O458*$F$9,0,O393)</f>
        <v>0</v>
      </c>
      <c r="P327" s="331">
        <f>+IF(SUM($F393:O393)&gt;=P458*$F$9,0,P393)</f>
        <v>0</v>
      </c>
      <c r="Q327" s="331">
        <f>+IF(SUM($F393:P393)&gt;=Q458*$F$9,0,Q393)</f>
        <v>0</v>
      </c>
      <c r="R327" s="331">
        <f>+IF(SUM($F393:Q393)&gt;=R458*$F$9,0,R393)</f>
        <v>0</v>
      </c>
      <c r="S327" s="331">
        <f>+IF(SUM($F393:R393)&gt;=S458*$F$9,0,S393)</f>
        <v>0</v>
      </c>
      <c r="T327" s="331">
        <f>+IF(SUM($F393:S393)&gt;=T458*$F$9,0,T393)</f>
        <v>0</v>
      </c>
      <c r="U327" s="331">
        <f>+IF(SUM($F393:T393)&gt;=U458*$F$9,0,U393)</f>
        <v>0</v>
      </c>
      <c r="V327" s="331">
        <f>+IF(SUM($F393:U393)&gt;=V458*$F$9,0,V393)</f>
        <v>0</v>
      </c>
      <c r="W327" s="331">
        <f>+IF(SUM($F393:V393)&gt;=W458*$F$9,0,W393)</f>
        <v>0</v>
      </c>
      <c r="X327" s="331">
        <f>+IF(SUM($F393:W393)&gt;=X458*$F$9,0,X393)</f>
        <v>0</v>
      </c>
      <c r="Y327" s="331">
        <f>+IF(SUM($F393:X393)&gt;=Y458*$F$9,0,Y393)</f>
        <v>0</v>
      </c>
      <c r="Z327" s="331">
        <f>+IF(SUM($F393:Y393)&gt;=Z458*$F$9,0,Z393)</f>
        <v>0</v>
      </c>
      <c r="AA327" s="331">
        <f>+IF(SUM($F393:Z393)&gt;=AA458*$F$9,0,AA393)</f>
        <v>0</v>
      </c>
      <c r="AB327" s="331">
        <f>+IF(SUM($F393:AA393)&gt;=AB458*$F$9,0,AB393)</f>
        <v>0</v>
      </c>
      <c r="AC327" s="331">
        <f>+IF(SUM($F393:AB393)&gt;=AC458*$F$9,0,AC393)</f>
        <v>0</v>
      </c>
      <c r="AD327" s="331">
        <f>+IF(SUM($F393:AC393)&gt;=AD458*$F$9,0,AD393)</f>
        <v>0</v>
      </c>
      <c r="AE327" s="331">
        <f>+IF(SUM($F393:AD393)&gt;=AE458*$F$9,0,AE393)</f>
        <v>0</v>
      </c>
      <c r="AF327" s="331">
        <f>+IF(SUM($F393:AE393)&gt;=AF458*$F$9,0,AF393)</f>
        <v>0</v>
      </c>
      <c r="AG327" s="331">
        <f>+IF(SUM($F393:AF393)&gt;=AG458*$F$9,0,AG393)</f>
        <v>0</v>
      </c>
      <c r="AH327" s="331">
        <f>+IF(SUM($F393:AG393)&gt;=AH458*$F$9,0,AH393)</f>
        <v>0</v>
      </c>
      <c r="AI327" s="331">
        <f>+IF(SUM($F393:AH393)&gt;=AI458*$F$9,0,AI393)</f>
        <v>0</v>
      </c>
      <c r="AJ327" s="331">
        <f>+IF(SUM($F393:AI393)&gt;=AJ458*$F$9,0,AJ393)</f>
        <v>0</v>
      </c>
      <c r="AK327" s="331">
        <f>+IF(SUM($F393:AJ393)&gt;=AK458*$F$9,0,AK393)</f>
        <v>0</v>
      </c>
      <c r="AL327" s="331">
        <f>+IF(SUM($F393:AK393)&gt;=AL458*$F$9,0,AL393)</f>
        <v>0</v>
      </c>
      <c r="AM327" s="331">
        <f>+IF(SUM($F393:AL393)&gt;=AM458*$F$9,0,AM393)</f>
        <v>0</v>
      </c>
      <c r="AN327" s="331">
        <f>+IF(SUM($F393:AM393)&gt;=AN458*$F$9,0,AN393)</f>
        <v>0</v>
      </c>
      <c r="AO327" s="331">
        <f>+IF(SUM($F393:AN393)&gt;=AO458*$F$9,0,AO393)</f>
        <v>0</v>
      </c>
      <c r="AP327" s="331">
        <f>+IF(SUM($F393:AO393)&gt;=AP458*$F$9,0,AP393)</f>
        <v>0</v>
      </c>
      <c r="AQ327" s="331">
        <f>+IF(SUM($F393:AP393)&gt;=AQ458*$F$9,0,AQ393)</f>
        <v>0</v>
      </c>
      <c r="AR327" s="331">
        <f>+IF(SUM($F393:AQ393)&gt;=AR458*$F$9,0,AR393)</f>
        <v>0</v>
      </c>
      <c r="AS327" s="331">
        <f>+IF(SUM($F393:AR393)&gt;=AS458*$F$9,0,AS393)</f>
        <v>0</v>
      </c>
      <c r="AT327" s="331">
        <f>+IF(SUM($F393:AS393)&gt;=AT458*$F$9,0,AT393)</f>
        <v>0</v>
      </c>
      <c r="AU327" s="331">
        <f>+IF(SUM($F393:AT393)&gt;=AU458*$F$9,0,AU393)</f>
        <v>0</v>
      </c>
      <c r="AV327" s="331">
        <f>+IF(SUM($F393:AU393)&gt;=AV458*$F$9,0,AV393)</f>
        <v>0</v>
      </c>
      <c r="AW327" s="331">
        <f>+IF(SUM($F393:AV393)&gt;=AW458*$F$9,0,AW393)</f>
        <v>0</v>
      </c>
      <c r="AX327" s="331">
        <f>+IF(SUM($F393:AW393)&gt;=AX458*$F$9,0,AX393)</f>
        <v>0</v>
      </c>
      <c r="AY327" s="331">
        <f>+IF(SUM($F393:AX393)&gt;=AY458*$F$9,0,AY393)</f>
        <v>0</v>
      </c>
      <c r="AZ327" s="331">
        <f>+IF(SUM($F393:AY393)&gt;=AZ458*$F$9,0,AZ393)</f>
        <v>0</v>
      </c>
      <c r="BA327" s="331">
        <f>+IF(SUM($F393:AZ393)&gt;=BA458*$F$9,0,BA393)</f>
        <v>0</v>
      </c>
      <c r="BB327" s="331">
        <f>+IF(SUM($F393:BA393)&gt;=BB458*$F$9,0,BB393)</f>
        <v>0</v>
      </c>
      <c r="BC327" s="331">
        <f>+IF(SUM($F393:BB393)&gt;=BC458*$F$9,0,BC393)</f>
        <v>0</v>
      </c>
      <c r="BD327" s="331">
        <f>+IF(SUM($F393:BC393)&gt;=BD458*$F$9,0,BD393)</f>
        <v>0</v>
      </c>
      <c r="BE327" s="331">
        <f>+IF(SUM($F393:BD393)&gt;=BE458*$F$9,0,BE393)</f>
        <v>0</v>
      </c>
      <c r="BF327" s="331">
        <f>+IF(SUM($F393:BE393)&gt;=BF458*$F$9,0,BF393)</f>
        <v>0</v>
      </c>
      <c r="BG327" s="331">
        <f>+IF(SUM($F393:BF393)&gt;=BG458*$F$9,0,BG393)</f>
        <v>0</v>
      </c>
      <c r="BH327" s="331">
        <f>+IF(SUM($F393:BG393)&gt;=BH458*$F$9,0,BH393)</f>
        <v>0</v>
      </c>
      <c r="BI327" s="331">
        <f>+IF(SUM($F393:BH393)&gt;=BI458*$F$9,0,BI393)</f>
        <v>0</v>
      </c>
      <c r="BJ327" s="331">
        <f>+IF(SUM($F393:BI393)&gt;=BJ458*$F$9,0,BJ393)</f>
        <v>0</v>
      </c>
      <c r="BK327" s="331">
        <f>+IF(SUM($F393:BJ393)&gt;=BK458*$F$9,0,BK393)</f>
        <v>0</v>
      </c>
      <c r="BL327" s="331">
        <f>+IF(SUM($F393:BK393)&gt;=BL458*$F$9,0,BL393)</f>
        <v>0</v>
      </c>
      <c r="BM327" s="331">
        <f>+IF(SUM($F393:BL393)&gt;=BM458*$F$9,0,BM393)</f>
        <v>0</v>
      </c>
    </row>
    <row r="328" spans="5:65" ht="15.75">
      <c r="E328" s="416">
        <f t="shared" si="193"/>
        <v>45119</v>
      </c>
      <c r="F328" s="331">
        <f t="shared" si="192"/>
        <v>0</v>
      </c>
      <c r="G328" s="331">
        <f>+IF(SUM($F394:F394)&gt;=G459*$F$9,0,G394)</f>
        <v>0</v>
      </c>
      <c r="H328" s="331">
        <f>+IF(SUM($F394:G394)&gt;=H459*$F$9,0,H394)</f>
        <v>0</v>
      </c>
      <c r="I328" s="331">
        <f>+IF(SUM($F394:H394)&gt;=I459*$F$9,0,I394)</f>
        <v>0</v>
      </c>
      <c r="J328" s="331">
        <f>+IF(SUM($F394:I394)&gt;=J459*$F$9,0,J394)</f>
        <v>0</v>
      </c>
      <c r="K328" s="331">
        <f>+IF(SUM($F394:J394)&gt;=K459*$F$9,0,K394)</f>
        <v>0</v>
      </c>
      <c r="L328" s="331">
        <f>+IF(SUM($F394:K394)&gt;=L459*$F$9,0,L394)</f>
        <v>0</v>
      </c>
      <c r="M328" s="331">
        <f>+IF(SUM($F394:L394)&gt;=M459*$F$9,0,M394)</f>
        <v>0</v>
      </c>
      <c r="N328" s="331">
        <f>+IF(SUM($F394:M394)&gt;=N459*$F$9,0,N394)</f>
        <v>0</v>
      </c>
      <c r="O328" s="331">
        <f>+IF(SUM($F394:N394)&gt;=O459*$F$9,0,O394)</f>
        <v>0</v>
      </c>
      <c r="P328" s="331">
        <f>+IF(SUM($F394:O394)&gt;=P459*$F$9,0,P394)</f>
        <v>0</v>
      </c>
      <c r="Q328" s="331">
        <f>+IF(SUM($F394:P394)&gt;=Q459*$F$9,0,Q394)</f>
        <v>0</v>
      </c>
      <c r="R328" s="331">
        <f>+IF(SUM($F394:Q394)&gt;=R459*$F$9,0,R394)</f>
        <v>0</v>
      </c>
      <c r="S328" s="331">
        <f>+IF(SUM($F394:R394)&gt;=S459*$F$9,0,S394)</f>
        <v>0</v>
      </c>
      <c r="T328" s="331">
        <f>+IF(SUM($F394:S394)&gt;=T459*$F$9,0,T394)</f>
        <v>0</v>
      </c>
      <c r="U328" s="331">
        <f>+IF(SUM($F394:T394)&gt;=U459*$F$9,0,U394)</f>
        <v>0</v>
      </c>
      <c r="V328" s="331">
        <f>+IF(SUM($F394:U394)&gt;=V459*$F$9,0,V394)</f>
        <v>0</v>
      </c>
      <c r="W328" s="331">
        <f>+IF(SUM($F394:V394)&gt;=W459*$F$9,0,W394)</f>
        <v>0</v>
      </c>
      <c r="X328" s="331">
        <f>+IF(SUM($F394:W394)&gt;=X459*$F$9,0,X394)</f>
        <v>0</v>
      </c>
      <c r="Y328" s="331">
        <f>+IF(SUM($F394:X394)&gt;=Y459*$F$9,0,Y394)</f>
        <v>0</v>
      </c>
      <c r="Z328" s="331">
        <f>+IF(SUM($F394:Y394)&gt;=Z459*$F$9,0,Z394)</f>
        <v>0</v>
      </c>
      <c r="AA328" s="331">
        <f>+IF(SUM($F394:Z394)&gt;=AA459*$F$9,0,AA394)</f>
        <v>0</v>
      </c>
      <c r="AB328" s="331">
        <f>+IF(SUM($F394:AA394)&gt;=AB459*$F$9,0,AB394)</f>
        <v>0</v>
      </c>
      <c r="AC328" s="331">
        <f>+IF(SUM($F394:AB394)&gt;=AC459*$F$9,0,AC394)</f>
        <v>0</v>
      </c>
      <c r="AD328" s="331">
        <f>+IF(SUM($F394:AC394)&gt;=AD459*$F$9,0,AD394)</f>
        <v>0</v>
      </c>
      <c r="AE328" s="331">
        <f>+IF(SUM($F394:AD394)&gt;=AE459*$F$9,0,AE394)</f>
        <v>0</v>
      </c>
      <c r="AF328" s="331">
        <f>+IF(SUM($F394:AE394)&gt;=AF459*$F$9,0,AF394)</f>
        <v>0</v>
      </c>
      <c r="AG328" s="331">
        <f>+IF(SUM($F394:AF394)&gt;=AG459*$F$9,0,AG394)</f>
        <v>0</v>
      </c>
      <c r="AH328" s="331">
        <f>+IF(SUM($F394:AG394)&gt;=AH459*$F$9,0,AH394)</f>
        <v>0</v>
      </c>
      <c r="AI328" s="331">
        <f>+IF(SUM($F394:AH394)&gt;=AI459*$F$9,0,AI394)</f>
        <v>0</v>
      </c>
      <c r="AJ328" s="331">
        <f>+IF(SUM($F394:AI394)&gt;=AJ459*$F$9,0,AJ394)</f>
        <v>0</v>
      </c>
      <c r="AK328" s="331">
        <f>+IF(SUM($F394:AJ394)&gt;=AK459*$F$9,0,AK394)</f>
        <v>0</v>
      </c>
      <c r="AL328" s="331">
        <f>+IF(SUM($F394:AK394)&gt;=AL459*$F$9,0,AL394)</f>
        <v>0</v>
      </c>
      <c r="AM328" s="331">
        <f>+IF(SUM($F394:AL394)&gt;=AM459*$F$9,0,AM394)</f>
        <v>0</v>
      </c>
      <c r="AN328" s="331">
        <f>+IF(SUM($F394:AM394)&gt;=AN459*$F$9,0,AN394)</f>
        <v>0</v>
      </c>
      <c r="AO328" s="331">
        <f>+IF(SUM($F394:AN394)&gt;=AO459*$F$9,0,AO394)</f>
        <v>0</v>
      </c>
      <c r="AP328" s="331">
        <f>+IF(SUM($F394:AO394)&gt;=AP459*$F$9,0,AP394)</f>
        <v>0</v>
      </c>
      <c r="AQ328" s="331">
        <f>+IF(SUM($F394:AP394)&gt;=AQ459*$F$9,0,AQ394)</f>
        <v>0</v>
      </c>
      <c r="AR328" s="331">
        <f>+IF(SUM($F394:AQ394)&gt;=AR459*$F$9,0,AR394)</f>
        <v>0</v>
      </c>
      <c r="AS328" s="331">
        <f>+IF(SUM($F394:AR394)&gt;=AS459*$F$9,0,AS394)</f>
        <v>0</v>
      </c>
      <c r="AT328" s="331">
        <f>+IF(SUM($F394:AS394)&gt;=AT459*$F$9,0,AT394)</f>
        <v>0</v>
      </c>
      <c r="AU328" s="331">
        <f>+IF(SUM($F394:AT394)&gt;=AU459*$F$9,0,AU394)</f>
        <v>0</v>
      </c>
      <c r="AV328" s="331">
        <f>+IF(SUM($F394:AU394)&gt;=AV459*$F$9,0,AV394)</f>
        <v>0</v>
      </c>
      <c r="AW328" s="331">
        <f>+IF(SUM($F394:AV394)&gt;=AW459*$F$9,0,AW394)</f>
        <v>0</v>
      </c>
      <c r="AX328" s="331">
        <f>+IF(SUM($F394:AW394)&gt;=AX459*$F$9,0,AX394)</f>
        <v>0</v>
      </c>
      <c r="AY328" s="331">
        <f>+IF(SUM($F394:AX394)&gt;=AY459*$F$9,0,AY394)</f>
        <v>0</v>
      </c>
      <c r="AZ328" s="331">
        <f>+IF(SUM($F394:AY394)&gt;=AZ459*$F$9,0,AZ394)</f>
        <v>0</v>
      </c>
      <c r="BA328" s="331">
        <f>+IF(SUM($F394:AZ394)&gt;=BA459*$F$9,0,BA394)</f>
        <v>0</v>
      </c>
      <c r="BB328" s="331">
        <f>+IF(SUM($F394:BA394)&gt;=BB459*$F$9,0,BB394)</f>
        <v>0</v>
      </c>
      <c r="BC328" s="331">
        <f>+IF(SUM($F394:BB394)&gt;=BC459*$F$9,0,BC394)</f>
        <v>0</v>
      </c>
      <c r="BD328" s="331">
        <f>+IF(SUM($F394:BC394)&gt;=BD459*$F$9,0,BD394)</f>
        <v>0</v>
      </c>
      <c r="BE328" s="331">
        <f>+IF(SUM($F394:BD394)&gt;=BE459*$F$9,0,BE394)</f>
        <v>0</v>
      </c>
      <c r="BF328" s="331">
        <f>+IF(SUM($F394:BE394)&gt;=BF459*$F$9,0,BF394)</f>
        <v>0</v>
      </c>
      <c r="BG328" s="331">
        <f>+IF(SUM($F394:BF394)&gt;=BG459*$F$9,0,BG394)</f>
        <v>0</v>
      </c>
      <c r="BH328" s="331">
        <f>+IF(SUM($F394:BG394)&gt;=BH459*$F$9,0,BH394)</f>
        <v>0</v>
      </c>
      <c r="BI328" s="331">
        <f>+IF(SUM($F394:BH394)&gt;=BI459*$F$9,0,BI394)</f>
        <v>0</v>
      </c>
      <c r="BJ328" s="331">
        <f>+IF(SUM($F394:BI394)&gt;=BJ459*$F$9,0,BJ394)</f>
        <v>0</v>
      </c>
      <c r="BK328" s="331">
        <f>+IF(SUM($F394:BJ394)&gt;=BK459*$F$9,0,BK394)</f>
        <v>0</v>
      </c>
      <c r="BL328" s="331">
        <f>+IF(SUM($F394:BK394)&gt;=BL459*$F$9,0,BL394)</f>
        <v>0</v>
      </c>
      <c r="BM328" s="331">
        <f>+IF(SUM($F394:BL394)&gt;=BM459*$F$9,0,BM394)</f>
        <v>0</v>
      </c>
    </row>
    <row r="329" spans="5:65" ht="15.75">
      <c r="E329" s="416">
        <f t="shared" si="193"/>
        <v>45150</v>
      </c>
      <c r="F329" s="331">
        <f t="shared" si="192"/>
        <v>0</v>
      </c>
      <c r="G329" s="331">
        <f>+IF(SUM($F395:F395)&gt;=G460*$F$9,0,G395)</f>
        <v>0</v>
      </c>
      <c r="H329" s="331">
        <f>+IF(SUM($F395:G395)&gt;=H460*$F$9,0,H395)</f>
        <v>0</v>
      </c>
      <c r="I329" s="331">
        <f>+IF(SUM($F395:H395)&gt;=I460*$F$9,0,I395)</f>
        <v>0</v>
      </c>
      <c r="J329" s="331">
        <f>+IF(SUM($F395:I395)&gt;=J460*$F$9,0,J395)</f>
        <v>0</v>
      </c>
      <c r="K329" s="331">
        <f>+IF(SUM($F395:J395)&gt;=K460*$F$9,0,K395)</f>
        <v>0</v>
      </c>
      <c r="L329" s="331">
        <f>+IF(SUM($F395:K395)&gt;=L460*$F$9,0,L395)</f>
        <v>0</v>
      </c>
      <c r="M329" s="331">
        <f>+IF(SUM($F395:L395)&gt;=M460*$F$9,0,M395)</f>
        <v>0</v>
      </c>
      <c r="N329" s="331">
        <f>+IF(SUM($F395:M395)&gt;=N460*$F$9,0,N395)</f>
        <v>0</v>
      </c>
      <c r="O329" s="331">
        <f>+IF(SUM($F395:N395)&gt;=O460*$F$9,0,O395)</f>
        <v>0</v>
      </c>
      <c r="P329" s="331">
        <f>+IF(SUM($F395:O395)&gt;=P460*$F$9,0,P395)</f>
        <v>0</v>
      </c>
      <c r="Q329" s="331">
        <f>+IF(SUM($F395:P395)&gt;=Q460*$F$9,0,Q395)</f>
        <v>0</v>
      </c>
      <c r="R329" s="331">
        <f>+IF(SUM($F395:Q395)&gt;=R460*$F$9,0,R395)</f>
        <v>0</v>
      </c>
      <c r="S329" s="331">
        <f>+IF(SUM($F395:R395)&gt;=S460*$F$9,0,S395)</f>
        <v>0</v>
      </c>
      <c r="T329" s="331">
        <f>+IF(SUM($F395:S395)&gt;=T460*$F$9,0,T395)</f>
        <v>0</v>
      </c>
      <c r="U329" s="331">
        <f>+IF(SUM($F395:T395)&gt;=U460*$F$9,0,U395)</f>
        <v>0</v>
      </c>
      <c r="V329" s="331">
        <f>+IF(SUM($F395:U395)&gt;=V460*$F$9,0,V395)</f>
        <v>0</v>
      </c>
      <c r="W329" s="331">
        <f>+IF(SUM($F395:V395)&gt;=W460*$F$9,0,W395)</f>
        <v>0</v>
      </c>
      <c r="X329" s="331">
        <f>+IF(SUM($F395:W395)&gt;=X460*$F$9,0,X395)</f>
        <v>0</v>
      </c>
      <c r="Y329" s="331">
        <f>+IF(SUM($F395:X395)&gt;=Y460*$F$9,0,Y395)</f>
        <v>0</v>
      </c>
      <c r="Z329" s="331">
        <f>+IF(SUM($F395:Y395)&gt;=Z460*$F$9,0,Z395)</f>
        <v>0</v>
      </c>
      <c r="AA329" s="331">
        <f>+IF(SUM($F395:Z395)&gt;=AA460*$F$9,0,AA395)</f>
        <v>0</v>
      </c>
      <c r="AB329" s="331">
        <f>+IF(SUM($F395:AA395)&gt;=AB460*$F$9,0,AB395)</f>
        <v>0</v>
      </c>
      <c r="AC329" s="331">
        <f>+IF(SUM($F395:AB395)&gt;=AC460*$F$9,0,AC395)</f>
        <v>0</v>
      </c>
      <c r="AD329" s="331">
        <f>+IF(SUM($F395:AC395)&gt;=AD460*$F$9,0,AD395)</f>
        <v>0</v>
      </c>
      <c r="AE329" s="331">
        <f>+IF(SUM($F395:AD395)&gt;=AE460*$F$9,0,AE395)</f>
        <v>0</v>
      </c>
      <c r="AF329" s="331">
        <f>+IF(SUM($F395:AE395)&gt;=AF460*$F$9,0,AF395)</f>
        <v>0</v>
      </c>
      <c r="AG329" s="331">
        <f>+IF(SUM($F395:AF395)&gt;=AG460*$F$9,0,AG395)</f>
        <v>0</v>
      </c>
      <c r="AH329" s="331">
        <f>+IF(SUM($F395:AG395)&gt;=AH460*$F$9,0,AH395)</f>
        <v>0</v>
      </c>
      <c r="AI329" s="331">
        <f>+IF(SUM($F395:AH395)&gt;=AI460*$F$9,0,AI395)</f>
        <v>0</v>
      </c>
      <c r="AJ329" s="331">
        <f>+IF(SUM($F395:AI395)&gt;=AJ460*$F$9,0,AJ395)</f>
        <v>0</v>
      </c>
      <c r="AK329" s="331">
        <f>+IF(SUM($F395:AJ395)&gt;=AK460*$F$9,0,AK395)</f>
        <v>0</v>
      </c>
      <c r="AL329" s="331">
        <f>+IF(SUM($F395:AK395)&gt;=AL460*$F$9,0,AL395)</f>
        <v>0</v>
      </c>
      <c r="AM329" s="331">
        <f>+IF(SUM($F395:AL395)&gt;=AM460*$F$9,0,AM395)</f>
        <v>0</v>
      </c>
      <c r="AN329" s="331">
        <f>+IF(SUM($F395:AM395)&gt;=AN460*$F$9,0,AN395)</f>
        <v>0</v>
      </c>
      <c r="AO329" s="331">
        <f>+IF(SUM($F395:AN395)&gt;=AO460*$F$9,0,AO395)</f>
        <v>0</v>
      </c>
      <c r="AP329" s="331">
        <f>+IF(SUM($F395:AO395)&gt;=AP460*$F$9,0,AP395)</f>
        <v>0</v>
      </c>
      <c r="AQ329" s="331">
        <f>+IF(SUM($F395:AP395)&gt;=AQ460*$F$9,0,AQ395)</f>
        <v>0</v>
      </c>
      <c r="AR329" s="331">
        <f>+IF(SUM($F395:AQ395)&gt;=AR460*$F$9,0,AR395)</f>
        <v>0</v>
      </c>
      <c r="AS329" s="331">
        <f>+IF(SUM($F395:AR395)&gt;=AS460*$F$9,0,AS395)</f>
        <v>0</v>
      </c>
      <c r="AT329" s="331">
        <f>+IF(SUM($F395:AS395)&gt;=AT460*$F$9,0,AT395)</f>
        <v>0</v>
      </c>
      <c r="AU329" s="331">
        <f>+IF(SUM($F395:AT395)&gt;=AU460*$F$9,0,AU395)</f>
        <v>0</v>
      </c>
      <c r="AV329" s="331">
        <f>+IF(SUM($F395:AU395)&gt;=AV460*$F$9,0,AV395)</f>
        <v>0</v>
      </c>
      <c r="AW329" s="331">
        <f>+IF(SUM($F395:AV395)&gt;=AW460*$F$9,0,AW395)</f>
        <v>0</v>
      </c>
      <c r="AX329" s="331">
        <f>+IF(SUM($F395:AW395)&gt;=AX460*$F$9,0,AX395)</f>
        <v>0</v>
      </c>
      <c r="AY329" s="331">
        <f>+IF(SUM($F395:AX395)&gt;=AY460*$F$9,0,AY395)</f>
        <v>0</v>
      </c>
      <c r="AZ329" s="331">
        <f>+IF(SUM($F395:AY395)&gt;=AZ460*$F$9,0,AZ395)</f>
        <v>0</v>
      </c>
      <c r="BA329" s="331">
        <f>+IF(SUM($F395:AZ395)&gt;=BA460*$F$9,0,BA395)</f>
        <v>0</v>
      </c>
      <c r="BB329" s="331">
        <f>+IF(SUM($F395:BA395)&gt;=BB460*$F$9,0,BB395)</f>
        <v>0</v>
      </c>
      <c r="BC329" s="331">
        <f>+IF(SUM($F395:BB395)&gt;=BC460*$F$9,0,BC395)</f>
        <v>0</v>
      </c>
      <c r="BD329" s="331">
        <f>+IF(SUM($F395:BC395)&gt;=BD460*$F$9,0,BD395)</f>
        <v>0</v>
      </c>
      <c r="BE329" s="331">
        <f>+IF(SUM($F395:BD395)&gt;=BE460*$F$9,0,BE395)</f>
        <v>0</v>
      </c>
      <c r="BF329" s="331">
        <f>+IF(SUM($F395:BE395)&gt;=BF460*$F$9,0,BF395)</f>
        <v>0</v>
      </c>
      <c r="BG329" s="331">
        <f>+IF(SUM($F395:BF395)&gt;=BG460*$F$9,0,BG395)</f>
        <v>0</v>
      </c>
      <c r="BH329" s="331">
        <f>+IF(SUM($F395:BG395)&gt;=BH460*$F$9,0,BH395)</f>
        <v>0</v>
      </c>
      <c r="BI329" s="331">
        <f>+IF(SUM($F395:BH395)&gt;=BI460*$F$9,0,BI395)</f>
        <v>0</v>
      </c>
      <c r="BJ329" s="331">
        <f>+IF(SUM($F395:BI395)&gt;=BJ460*$F$9,0,BJ395)</f>
        <v>0</v>
      </c>
      <c r="BK329" s="331">
        <f>+IF(SUM($F395:BJ395)&gt;=BK460*$F$9,0,BK395)</f>
        <v>0</v>
      </c>
      <c r="BL329" s="331">
        <f>+IF(SUM($F395:BK395)&gt;=BL460*$F$9,0,BL395)</f>
        <v>0</v>
      </c>
      <c r="BM329" s="331">
        <f>+IF(SUM($F395:BL395)&gt;=BM460*$F$9,0,BM395)</f>
        <v>0</v>
      </c>
    </row>
    <row r="330" spans="5:65" ht="15.75">
      <c r="E330" s="416">
        <f t="shared" si="193"/>
        <v>45181</v>
      </c>
      <c r="F330" s="331">
        <f t="shared" si="192"/>
        <v>0</v>
      </c>
      <c r="G330" s="331">
        <f>+IF(SUM($F396:F396)&gt;=G461*$F$9,0,G396)</f>
        <v>0</v>
      </c>
      <c r="H330" s="331">
        <f>+IF(SUM($F396:G396)&gt;=H461*$F$9,0,H396)</f>
        <v>0</v>
      </c>
      <c r="I330" s="331">
        <f>+IF(SUM($F396:H396)&gt;=I461*$F$9,0,I396)</f>
        <v>0</v>
      </c>
      <c r="J330" s="331">
        <f>+IF(SUM($F396:I396)&gt;=J461*$F$9,0,J396)</f>
        <v>0</v>
      </c>
      <c r="K330" s="331">
        <f>+IF(SUM($F396:J396)&gt;=K461*$F$9,0,K396)</f>
        <v>0</v>
      </c>
      <c r="L330" s="331">
        <f>+IF(SUM($F396:K396)&gt;=L461*$F$9,0,L396)</f>
        <v>0</v>
      </c>
      <c r="M330" s="331">
        <f>+IF(SUM($F396:L396)&gt;=M461*$F$9,0,M396)</f>
        <v>0</v>
      </c>
      <c r="N330" s="331">
        <f>+IF(SUM($F396:M396)&gt;=N461*$F$9,0,N396)</f>
        <v>0</v>
      </c>
      <c r="O330" s="331">
        <f>+IF(SUM($F396:N396)&gt;=O461*$F$9,0,O396)</f>
        <v>0</v>
      </c>
      <c r="P330" s="331">
        <f>+IF(SUM($F396:O396)&gt;=P461*$F$9,0,P396)</f>
        <v>0</v>
      </c>
      <c r="Q330" s="331">
        <f>+IF(SUM($F396:P396)&gt;=Q461*$F$9,0,Q396)</f>
        <v>0</v>
      </c>
      <c r="R330" s="331">
        <f>+IF(SUM($F396:Q396)&gt;=R461*$F$9,0,R396)</f>
        <v>0</v>
      </c>
      <c r="S330" s="331">
        <f>+IF(SUM($F396:R396)&gt;=S461*$F$9,0,S396)</f>
        <v>0</v>
      </c>
      <c r="T330" s="331">
        <f>+IF(SUM($F396:S396)&gt;=T461*$F$9,0,T396)</f>
        <v>0</v>
      </c>
      <c r="U330" s="331">
        <f>+IF(SUM($F396:T396)&gt;=U461*$F$9,0,U396)</f>
        <v>0</v>
      </c>
      <c r="V330" s="331">
        <f>+IF(SUM($F396:U396)&gt;=V461*$F$9,0,V396)</f>
        <v>0</v>
      </c>
      <c r="W330" s="331">
        <f>+IF(SUM($F396:V396)&gt;=W461*$F$9,0,W396)</f>
        <v>0</v>
      </c>
      <c r="X330" s="331">
        <f>+IF(SUM($F396:W396)&gt;=X461*$F$9,0,X396)</f>
        <v>0</v>
      </c>
      <c r="Y330" s="331">
        <f>+IF(SUM($F396:X396)&gt;=Y461*$F$9,0,Y396)</f>
        <v>0</v>
      </c>
      <c r="Z330" s="331">
        <f>+IF(SUM($F396:Y396)&gt;=Z461*$F$9,0,Z396)</f>
        <v>0</v>
      </c>
      <c r="AA330" s="331">
        <f>+IF(SUM($F396:Z396)&gt;=AA461*$F$9,0,AA396)</f>
        <v>0</v>
      </c>
      <c r="AB330" s="331">
        <f>+IF(SUM($F396:AA396)&gt;=AB461*$F$9,0,AB396)</f>
        <v>0</v>
      </c>
      <c r="AC330" s="331">
        <f>+IF(SUM($F396:AB396)&gt;=AC461*$F$9,0,AC396)</f>
        <v>0</v>
      </c>
      <c r="AD330" s="331">
        <f>+IF(SUM($F396:AC396)&gt;=AD461*$F$9,0,AD396)</f>
        <v>0</v>
      </c>
      <c r="AE330" s="331">
        <f>+IF(SUM($F396:AD396)&gt;=AE461*$F$9,0,AE396)</f>
        <v>0</v>
      </c>
      <c r="AF330" s="331">
        <f>+IF(SUM($F396:AE396)&gt;=AF461*$F$9,0,AF396)</f>
        <v>0</v>
      </c>
      <c r="AG330" s="331">
        <f>+IF(SUM($F396:AF396)&gt;=AG461*$F$9,0,AG396)</f>
        <v>0</v>
      </c>
      <c r="AH330" s="331">
        <f>+IF(SUM($F396:AG396)&gt;=AH461*$F$9,0,AH396)</f>
        <v>0</v>
      </c>
      <c r="AI330" s="331">
        <f>+IF(SUM($F396:AH396)&gt;=AI461*$F$9,0,AI396)</f>
        <v>0</v>
      </c>
      <c r="AJ330" s="331">
        <f>+IF(SUM($F396:AI396)&gt;=AJ461*$F$9,0,AJ396)</f>
        <v>0</v>
      </c>
      <c r="AK330" s="331">
        <f>+IF(SUM($F396:AJ396)&gt;=AK461*$F$9,0,AK396)</f>
        <v>0</v>
      </c>
      <c r="AL330" s="331">
        <f>+IF(SUM($F396:AK396)&gt;=AL461*$F$9,0,AL396)</f>
        <v>0</v>
      </c>
      <c r="AM330" s="331">
        <f>+IF(SUM($F396:AL396)&gt;=AM461*$F$9,0,AM396)</f>
        <v>0</v>
      </c>
      <c r="AN330" s="331">
        <f>+IF(SUM($F396:AM396)&gt;=AN461*$F$9,0,AN396)</f>
        <v>0</v>
      </c>
      <c r="AO330" s="331">
        <f>+IF(SUM($F396:AN396)&gt;=AO461*$F$9,0,AO396)</f>
        <v>0</v>
      </c>
      <c r="AP330" s="331">
        <f>+IF(SUM($F396:AO396)&gt;=AP461*$F$9,0,AP396)</f>
        <v>0</v>
      </c>
      <c r="AQ330" s="331">
        <f>+IF(SUM($F396:AP396)&gt;=AQ461*$F$9,0,AQ396)</f>
        <v>0</v>
      </c>
      <c r="AR330" s="331">
        <f>+IF(SUM($F396:AQ396)&gt;=AR461*$F$9,0,AR396)</f>
        <v>0</v>
      </c>
      <c r="AS330" s="331">
        <f>+IF(SUM($F396:AR396)&gt;=AS461*$F$9,0,AS396)</f>
        <v>0</v>
      </c>
      <c r="AT330" s="331">
        <f>+IF(SUM($F396:AS396)&gt;=AT461*$F$9,0,AT396)</f>
        <v>0</v>
      </c>
      <c r="AU330" s="331">
        <f>+IF(SUM($F396:AT396)&gt;=AU461*$F$9,0,AU396)</f>
        <v>0</v>
      </c>
      <c r="AV330" s="331">
        <f>+IF(SUM($F396:AU396)&gt;=AV461*$F$9,0,AV396)</f>
        <v>0</v>
      </c>
      <c r="AW330" s="331">
        <f>+IF(SUM($F396:AV396)&gt;=AW461*$F$9,0,AW396)</f>
        <v>0</v>
      </c>
      <c r="AX330" s="331">
        <f>+IF(SUM($F396:AW396)&gt;=AX461*$F$9,0,AX396)</f>
        <v>0</v>
      </c>
      <c r="AY330" s="331">
        <f>+IF(SUM($F396:AX396)&gt;=AY461*$F$9,0,AY396)</f>
        <v>0</v>
      </c>
      <c r="AZ330" s="331">
        <f>+IF(SUM($F396:AY396)&gt;=AZ461*$F$9,0,AZ396)</f>
        <v>0</v>
      </c>
      <c r="BA330" s="331">
        <f>+IF(SUM($F396:AZ396)&gt;=BA461*$F$9,0,BA396)</f>
        <v>0</v>
      </c>
      <c r="BB330" s="331">
        <f>+IF(SUM($F396:BA396)&gt;=BB461*$F$9,0,BB396)</f>
        <v>0</v>
      </c>
      <c r="BC330" s="331">
        <f>+IF(SUM($F396:BB396)&gt;=BC461*$F$9,0,BC396)</f>
        <v>0</v>
      </c>
      <c r="BD330" s="331">
        <f>+IF(SUM($F396:BC396)&gt;=BD461*$F$9,0,BD396)</f>
        <v>0</v>
      </c>
      <c r="BE330" s="331">
        <f>+IF(SUM($F396:BD396)&gt;=BE461*$F$9,0,BE396)</f>
        <v>0</v>
      </c>
      <c r="BF330" s="331">
        <f>+IF(SUM($F396:BE396)&gt;=BF461*$F$9,0,BF396)</f>
        <v>0</v>
      </c>
      <c r="BG330" s="331">
        <f>+IF(SUM($F396:BF396)&gt;=BG461*$F$9,0,BG396)</f>
        <v>0</v>
      </c>
      <c r="BH330" s="331">
        <f>+IF(SUM($F396:BG396)&gt;=BH461*$F$9,0,BH396)</f>
        <v>0</v>
      </c>
      <c r="BI330" s="331">
        <f>+IF(SUM($F396:BH396)&gt;=BI461*$F$9,0,BI396)</f>
        <v>0</v>
      </c>
      <c r="BJ330" s="331">
        <f>+IF(SUM($F396:BI396)&gt;=BJ461*$F$9,0,BJ396)</f>
        <v>0</v>
      </c>
      <c r="BK330" s="331">
        <f>+IF(SUM($F396:BJ396)&gt;=BK461*$F$9,0,BK396)</f>
        <v>0</v>
      </c>
      <c r="BL330" s="331">
        <f>+IF(SUM($F396:BK396)&gt;=BL461*$F$9,0,BL396)</f>
        <v>0</v>
      </c>
      <c r="BM330" s="331">
        <f>+IF(SUM($F396:BL396)&gt;=BM461*$F$9,0,BM396)</f>
        <v>0</v>
      </c>
    </row>
    <row r="331" spans="5:65" ht="15.75">
      <c r="E331" s="416">
        <f t="shared" si="193"/>
        <v>45212</v>
      </c>
      <c r="F331" s="331">
        <f t="shared" si="192"/>
        <v>0</v>
      </c>
      <c r="G331" s="331">
        <f>+IF(SUM($F397:F397)&gt;=G462*$F$9,0,G397)</f>
        <v>0</v>
      </c>
      <c r="H331" s="331">
        <f>+IF(SUM($F397:G397)&gt;=H462*$F$9,0,H397)</f>
        <v>0</v>
      </c>
      <c r="I331" s="331">
        <f>+IF(SUM($F397:H397)&gt;=I462*$F$9,0,I397)</f>
        <v>0</v>
      </c>
      <c r="J331" s="331">
        <f>+IF(SUM($F397:I397)&gt;=J462*$F$9,0,J397)</f>
        <v>0</v>
      </c>
      <c r="K331" s="331">
        <f>+IF(SUM($F397:J397)&gt;=K462*$F$9,0,K397)</f>
        <v>0</v>
      </c>
      <c r="L331" s="331">
        <f>+IF(SUM($F397:K397)&gt;=L462*$F$9,0,L397)</f>
        <v>0</v>
      </c>
      <c r="M331" s="331">
        <f>+IF(SUM($F397:L397)&gt;=M462*$F$9,0,M397)</f>
        <v>0</v>
      </c>
      <c r="N331" s="331">
        <f>+IF(SUM($F397:M397)&gt;=N462*$F$9,0,N397)</f>
        <v>0</v>
      </c>
      <c r="O331" s="331">
        <f>+IF(SUM($F397:N397)&gt;=O462*$F$9,0,O397)</f>
        <v>0</v>
      </c>
      <c r="P331" s="331">
        <f>+IF(SUM($F397:O397)&gt;=P462*$F$9,0,P397)</f>
        <v>0</v>
      </c>
      <c r="Q331" s="331">
        <f>+IF(SUM($F397:P397)&gt;=Q462*$F$9,0,Q397)</f>
        <v>0</v>
      </c>
      <c r="R331" s="331">
        <f>+IF(SUM($F397:Q397)&gt;=R462*$F$9,0,R397)</f>
        <v>0</v>
      </c>
      <c r="S331" s="331">
        <f>+IF(SUM($F397:R397)&gt;=S462*$F$9,0,S397)</f>
        <v>0</v>
      </c>
      <c r="T331" s="331">
        <f>+IF(SUM($F397:S397)&gt;=T462*$F$9,0,T397)</f>
        <v>0</v>
      </c>
      <c r="U331" s="331">
        <f>+IF(SUM($F397:T397)&gt;=U462*$F$9,0,U397)</f>
        <v>0</v>
      </c>
      <c r="V331" s="331">
        <f>+IF(SUM($F397:U397)&gt;=V462*$F$9,0,V397)</f>
        <v>0</v>
      </c>
      <c r="W331" s="331">
        <f>+IF(SUM($F397:V397)&gt;=W462*$F$9,0,W397)</f>
        <v>0</v>
      </c>
      <c r="X331" s="331">
        <f>+IF(SUM($F397:W397)&gt;=X462*$F$9,0,X397)</f>
        <v>0</v>
      </c>
      <c r="Y331" s="331">
        <f>+IF(SUM($F397:X397)&gt;=Y462*$F$9,0,Y397)</f>
        <v>0</v>
      </c>
      <c r="Z331" s="331">
        <f>+IF(SUM($F397:Y397)&gt;=Z462*$F$9,0,Z397)</f>
        <v>0</v>
      </c>
      <c r="AA331" s="331">
        <f>+IF(SUM($F397:Z397)&gt;=AA462*$F$9,0,AA397)</f>
        <v>0</v>
      </c>
      <c r="AB331" s="331">
        <f>+IF(SUM($F397:AA397)&gt;=AB462*$F$9,0,AB397)</f>
        <v>0</v>
      </c>
      <c r="AC331" s="331">
        <f>+IF(SUM($F397:AB397)&gt;=AC462*$F$9,0,AC397)</f>
        <v>0</v>
      </c>
      <c r="AD331" s="331">
        <f>+IF(SUM($F397:AC397)&gt;=AD462*$F$9,0,AD397)</f>
        <v>0</v>
      </c>
      <c r="AE331" s="331">
        <f>+IF(SUM($F397:AD397)&gt;=AE462*$F$9,0,AE397)</f>
        <v>0</v>
      </c>
      <c r="AF331" s="331">
        <f>+IF(SUM($F397:AE397)&gt;=AF462*$F$9,0,AF397)</f>
        <v>0</v>
      </c>
      <c r="AG331" s="331">
        <f>+IF(SUM($F397:AF397)&gt;=AG462*$F$9,0,AG397)</f>
        <v>0</v>
      </c>
      <c r="AH331" s="331">
        <f>+IF(SUM($F397:AG397)&gt;=AH462*$F$9,0,AH397)</f>
        <v>0</v>
      </c>
      <c r="AI331" s="331">
        <f>+IF(SUM($F397:AH397)&gt;=AI462*$F$9,0,AI397)</f>
        <v>0</v>
      </c>
      <c r="AJ331" s="331">
        <f>+IF(SUM($F397:AI397)&gt;=AJ462*$F$9,0,AJ397)</f>
        <v>0</v>
      </c>
      <c r="AK331" s="331">
        <f>+IF(SUM($F397:AJ397)&gt;=AK462*$F$9,0,AK397)</f>
        <v>0</v>
      </c>
      <c r="AL331" s="331">
        <f>+IF(SUM($F397:AK397)&gt;=AL462*$F$9,0,AL397)</f>
        <v>0</v>
      </c>
      <c r="AM331" s="331">
        <f>+IF(SUM($F397:AL397)&gt;=AM462*$F$9,0,AM397)</f>
        <v>0</v>
      </c>
      <c r="AN331" s="331">
        <f>+IF(SUM($F397:AM397)&gt;=AN462*$F$9,0,AN397)</f>
        <v>0</v>
      </c>
      <c r="AO331" s="331">
        <f>+IF(SUM($F397:AN397)&gt;=AO462*$F$9,0,AO397)</f>
        <v>0</v>
      </c>
      <c r="AP331" s="331">
        <f>+IF(SUM($F397:AO397)&gt;=AP462*$F$9,0,AP397)</f>
        <v>0</v>
      </c>
      <c r="AQ331" s="331">
        <f>+IF(SUM($F397:AP397)&gt;=AQ462*$F$9,0,AQ397)</f>
        <v>0</v>
      </c>
      <c r="AR331" s="331">
        <f>+IF(SUM($F397:AQ397)&gt;=AR462*$F$9,0,AR397)</f>
        <v>0</v>
      </c>
      <c r="AS331" s="331">
        <f>+IF(SUM($F397:AR397)&gt;=AS462*$F$9,0,AS397)</f>
        <v>0</v>
      </c>
      <c r="AT331" s="331">
        <f>+IF(SUM($F397:AS397)&gt;=AT462*$F$9,0,AT397)</f>
        <v>0</v>
      </c>
      <c r="AU331" s="331">
        <f>+IF(SUM($F397:AT397)&gt;=AU462*$F$9,0,AU397)</f>
        <v>0</v>
      </c>
      <c r="AV331" s="331">
        <f>+IF(SUM($F397:AU397)&gt;=AV462*$F$9,0,AV397)</f>
        <v>0</v>
      </c>
      <c r="AW331" s="331">
        <f>+IF(SUM($F397:AV397)&gt;=AW462*$F$9,0,AW397)</f>
        <v>0</v>
      </c>
      <c r="AX331" s="331">
        <f>+IF(SUM($F397:AW397)&gt;=AX462*$F$9,0,AX397)</f>
        <v>0</v>
      </c>
      <c r="AY331" s="331">
        <f>+IF(SUM($F397:AX397)&gt;=AY462*$F$9,0,AY397)</f>
        <v>0</v>
      </c>
      <c r="AZ331" s="331">
        <f>+IF(SUM($F397:AY397)&gt;=AZ462*$F$9,0,AZ397)</f>
        <v>0</v>
      </c>
      <c r="BA331" s="331">
        <f>+IF(SUM($F397:AZ397)&gt;=BA462*$F$9,0,BA397)</f>
        <v>0</v>
      </c>
      <c r="BB331" s="331">
        <f>+IF(SUM($F397:BA397)&gt;=BB462*$F$9,0,BB397)</f>
        <v>0</v>
      </c>
      <c r="BC331" s="331">
        <f>+IF(SUM($F397:BB397)&gt;=BC462*$F$9,0,BC397)</f>
        <v>0</v>
      </c>
      <c r="BD331" s="331">
        <f>+IF(SUM($F397:BC397)&gt;=BD462*$F$9,0,BD397)</f>
        <v>0</v>
      </c>
      <c r="BE331" s="331">
        <f>+IF(SUM($F397:BD397)&gt;=BE462*$F$9,0,BE397)</f>
        <v>0</v>
      </c>
      <c r="BF331" s="331">
        <f>+IF(SUM($F397:BE397)&gt;=BF462*$F$9,0,BF397)</f>
        <v>0</v>
      </c>
      <c r="BG331" s="331">
        <f>+IF(SUM($F397:BF397)&gt;=BG462*$F$9,0,BG397)</f>
        <v>0</v>
      </c>
      <c r="BH331" s="331">
        <f>+IF(SUM($F397:BG397)&gt;=BH462*$F$9,0,BH397)</f>
        <v>0</v>
      </c>
      <c r="BI331" s="331">
        <f>+IF(SUM($F397:BH397)&gt;=BI462*$F$9,0,BI397)</f>
        <v>0</v>
      </c>
      <c r="BJ331" s="331">
        <f>+IF(SUM($F397:BI397)&gt;=BJ462*$F$9,0,BJ397)</f>
        <v>0</v>
      </c>
      <c r="BK331" s="331">
        <f>+IF(SUM($F397:BJ397)&gt;=BK462*$F$9,0,BK397)</f>
        <v>0</v>
      </c>
      <c r="BL331" s="331">
        <f>+IF(SUM($F397:BK397)&gt;=BL462*$F$9,0,BL397)</f>
        <v>0</v>
      </c>
      <c r="BM331" s="331">
        <f>+IF(SUM($F397:BL397)&gt;=BM462*$F$9,0,BM397)</f>
        <v>0</v>
      </c>
    </row>
    <row r="332" spans="5:65" ht="15.75">
      <c r="E332" s="416">
        <f t="shared" si="193"/>
        <v>45243</v>
      </c>
      <c r="F332" s="331">
        <f t="shared" si="192"/>
        <v>0</v>
      </c>
      <c r="G332" s="331">
        <f>+IF(SUM($F398:F398)&gt;=G463*$F$9,0,G398)</f>
        <v>0</v>
      </c>
      <c r="H332" s="331">
        <f>+IF(SUM($F398:G398)&gt;=H463*$F$9,0,H398)</f>
        <v>0</v>
      </c>
      <c r="I332" s="331">
        <f>+IF(SUM($F398:H398)&gt;=I463*$F$9,0,I398)</f>
        <v>0</v>
      </c>
      <c r="J332" s="331">
        <f>+IF(SUM($F398:I398)&gt;=J463*$F$9,0,J398)</f>
        <v>0</v>
      </c>
      <c r="K332" s="331">
        <f>+IF(SUM($F398:J398)&gt;=K463*$F$9,0,K398)</f>
        <v>0</v>
      </c>
      <c r="L332" s="331">
        <f>+IF(SUM($F398:K398)&gt;=L463*$F$9,0,L398)</f>
        <v>0</v>
      </c>
      <c r="M332" s="331">
        <f>+IF(SUM($F398:L398)&gt;=M463*$F$9,0,M398)</f>
        <v>0</v>
      </c>
      <c r="N332" s="331">
        <f>+IF(SUM($F398:M398)&gt;=N463*$F$9,0,N398)</f>
        <v>0</v>
      </c>
      <c r="O332" s="331">
        <f>+IF(SUM($F398:N398)&gt;=O463*$F$9,0,O398)</f>
        <v>0</v>
      </c>
      <c r="P332" s="331">
        <f>+IF(SUM($F398:O398)&gt;=P463*$F$9,0,P398)</f>
        <v>0</v>
      </c>
      <c r="Q332" s="331">
        <f>+IF(SUM($F398:P398)&gt;=Q463*$F$9,0,Q398)</f>
        <v>0</v>
      </c>
      <c r="R332" s="331">
        <f>+IF(SUM($F398:Q398)&gt;=R463*$F$9,0,R398)</f>
        <v>0</v>
      </c>
      <c r="S332" s="331">
        <f>+IF(SUM($F398:R398)&gt;=S463*$F$9,0,S398)</f>
        <v>0</v>
      </c>
      <c r="T332" s="331">
        <f>+IF(SUM($F398:S398)&gt;=T463*$F$9,0,T398)</f>
        <v>0</v>
      </c>
      <c r="U332" s="331">
        <f>+IF(SUM($F398:T398)&gt;=U463*$F$9,0,U398)</f>
        <v>0</v>
      </c>
      <c r="V332" s="331">
        <f>+IF(SUM($F398:U398)&gt;=V463*$F$9,0,V398)</f>
        <v>0</v>
      </c>
      <c r="W332" s="331">
        <f>+IF(SUM($F398:V398)&gt;=W463*$F$9,0,W398)</f>
        <v>0</v>
      </c>
      <c r="X332" s="331">
        <f>+IF(SUM($F398:W398)&gt;=X463*$F$9,0,X398)</f>
        <v>0</v>
      </c>
      <c r="Y332" s="331">
        <f>+IF(SUM($F398:X398)&gt;=Y463*$F$9,0,Y398)</f>
        <v>0</v>
      </c>
      <c r="Z332" s="331">
        <f>+IF(SUM($F398:Y398)&gt;=Z463*$F$9,0,Z398)</f>
        <v>0</v>
      </c>
      <c r="AA332" s="331">
        <f>+IF(SUM($F398:Z398)&gt;=AA463*$F$9,0,AA398)</f>
        <v>0</v>
      </c>
      <c r="AB332" s="331">
        <f>+IF(SUM($F398:AA398)&gt;=AB463*$F$9,0,AB398)</f>
        <v>0</v>
      </c>
      <c r="AC332" s="331">
        <f>+IF(SUM($F398:AB398)&gt;=AC463*$F$9,0,AC398)</f>
        <v>0</v>
      </c>
      <c r="AD332" s="331">
        <f>+IF(SUM($F398:AC398)&gt;=AD463*$F$9,0,AD398)</f>
        <v>0</v>
      </c>
      <c r="AE332" s="331">
        <f>+IF(SUM($F398:AD398)&gt;=AE463*$F$9,0,AE398)</f>
        <v>0</v>
      </c>
      <c r="AF332" s="331">
        <f>+IF(SUM($F398:AE398)&gt;=AF463*$F$9,0,AF398)</f>
        <v>0</v>
      </c>
      <c r="AG332" s="331">
        <f>+IF(SUM($F398:AF398)&gt;=AG463*$F$9,0,AG398)</f>
        <v>0</v>
      </c>
      <c r="AH332" s="331">
        <f>+IF(SUM($F398:AG398)&gt;=AH463*$F$9,0,AH398)</f>
        <v>0</v>
      </c>
      <c r="AI332" s="331">
        <f>+IF(SUM($F398:AH398)&gt;=AI463*$F$9,0,AI398)</f>
        <v>0</v>
      </c>
      <c r="AJ332" s="331">
        <f>+IF(SUM($F398:AI398)&gt;=AJ463*$F$9,0,AJ398)</f>
        <v>0</v>
      </c>
      <c r="AK332" s="331">
        <f>+IF(SUM($F398:AJ398)&gt;=AK463*$F$9,0,AK398)</f>
        <v>0</v>
      </c>
      <c r="AL332" s="331">
        <f>+IF(SUM($F398:AK398)&gt;=AL463*$F$9,0,AL398)</f>
        <v>0</v>
      </c>
      <c r="AM332" s="331">
        <f>+IF(SUM($F398:AL398)&gt;=AM463*$F$9,0,AM398)</f>
        <v>0</v>
      </c>
      <c r="AN332" s="331">
        <f>+IF(SUM($F398:AM398)&gt;=AN463*$F$9,0,AN398)</f>
        <v>0</v>
      </c>
      <c r="AO332" s="331">
        <f>+IF(SUM($F398:AN398)&gt;=AO463*$F$9,0,AO398)</f>
        <v>0</v>
      </c>
      <c r="AP332" s="331">
        <f>+IF(SUM($F398:AO398)&gt;=AP463*$F$9,0,AP398)</f>
        <v>0</v>
      </c>
      <c r="AQ332" s="331">
        <f>+IF(SUM($F398:AP398)&gt;=AQ463*$F$9,0,AQ398)</f>
        <v>0</v>
      </c>
      <c r="AR332" s="331">
        <f>+IF(SUM($F398:AQ398)&gt;=AR463*$F$9,0,AR398)</f>
        <v>0</v>
      </c>
      <c r="AS332" s="331">
        <f>+IF(SUM($F398:AR398)&gt;=AS463*$F$9,0,AS398)</f>
        <v>0</v>
      </c>
      <c r="AT332" s="331">
        <f>+IF(SUM($F398:AS398)&gt;=AT463*$F$9,0,AT398)</f>
        <v>0</v>
      </c>
      <c r="AU332" s="331">
        <f>+IF(SUM($F398:AT398)&gt;=AU463*$F$9,0,AU398)</f>
        <v>0</v>
      </c>
      <c r="AV332" s="331">
        <f>+IF(SUM($F398:AU398)&gt;=AV463*$F$9,0,AV398)</f>
        <v>0</v>
      </c>
      <c r="AW332" s="331">
        <f>+IF(SUM($F398:AV398)&gt;=AW463*$F$9,0,AW398)</f>
        <v>0</v>
      </c>
      <c r="AX332" s="331">
        <f>+IF(SUM($F398:AW398)&gt;=AX463*$F$9,0,AX398)</f>
        <v>0</v>
      </c>
      <c r="AY332" s="331">
        <f>+IF(SUM($F398:AX398)&gt;=AY463*$F$9,0,AY398)</f>
        <v>0</v>
      </c>
      <c r="AZ332" s="331">
        <f>+IF(SUM($F398:AY398)&gt;=AZ463*$F$9,0,AZ398)</f>
        <v>0</v>
      </c>
      <c r="BA332" s="331">
        <f>+IF(SUM($F398:AZ398)&gt;=BA463*$F$9,0,BA398)</f>
        <v>0</v>
      </c>
      <c r="BB332" s="331">
        <f>+IF(SUM($F398:BA398)&gt;=BB463*$F$9,0,BB398)</f>
        <v>0</v>
      </c>
      <c r="BC332" s="331">
        <f>+IF(SUM($F398:BB398)&gt;=BC463*$F$9,0,BC398)</f>
        <v>0</v>
      </c>
      <c r="BD332" s="331">
        <f>+IF(SUM($F398:BC398)&gt;=BD463*$F$9,0,BD398)</f>
        <v>0</v>
      </c>
      <c r="BE332" s="331">
        <f>+IF(SUM($F398:BD398)&gt;=BE463*$F$9,0,BE398)</f>
        <v>0</v>
      </c>
      <c r="BF332" s="331">
        <f>+IF(SUM($F398:BE398)&gt;=BF463*$F$9,0,BF398)</f>
        <v>0</v>
      </c>
      <c r="BG332" s="331">
        <f>+IF(SUM($F398:BF398)&gt;=BG463*$F$9,0,BG398)</f>
        <v>0</v>
      </c>
      <c r="BH332" s="331">
        <f>+IF(SUM($F398:BG398)&gt;=BH463*$F$9,0,BH398)</f>
        <v>0</v>
      </c>
      <c r="BI332" s="331">
        <f>+IF(SUM($F398:BH398)&gt;=BI463*$F$9,0,BI398)</f>
        <v>0</v>
      </c>
      <c r="BJ332" s="331">
        <f>+IF(SUM($F398:BI398)&gt;=BJ463*$F$9,0,BJ398)</f>
        <v>0</v>
      </c>
      <c r="BK332" s="331">
        <f>+IF(SUM($F398:BJ398)&gt;=BK463*$F$9,0,BK398)</f>
        <v>0</v>
      </c>
      <c r="BL332" s="331">
        <f>+IF(SUM($F398:BK398)&gt;=BL463*$F$9,0,BL398)</f>
        <v>0</v>
      </c>
      <c r="BM332" s="331">
        <f>+IF(SUM($F398:BL398)&gt;=BM463*$F$9,0,BM398)</f>
        <v>0</v>
      </c>
    </row>
    <row r="333" spans="5:65" ht="16.2" thickBot="1">
      <c r="E333" s="416">
        <f t="shared" si="193"/>
        <v>45274</v>
      </c>
      <c r="F333" s="331">
        <f t="shared" si="192"/>
        <v>0</v>
      </c>
      <c r="G333" s="331">
        <f>+IF(SUM($F399:F399)&gt;=G464*$F$9,0,G399)</f>
        <v>0</v>
      </c>
      <c r="H333" s="331">
        <f>+IF(SUM($F399:G399)&gt;=H464*$F$9,0,H399)</f>
        <v>0</v>
      </c>
      <c r="I333" s="331">
        <f>+IF(SUM($F399:H399)&gt;=I464*$F$9,0,I399)</f>
        <v>0</v>
      </c>
      <c r="J333" s="331">
        <f>+IF(SUM($F399:I399)&gt;=J464*$F$9,0,J399)</f>
        <v>0</v>
      </c>
      <c r="K333" s="331">
        <f>+IF(SUM($F399:J399)&gt;=K464*$F$9,0,K399)</f>
        <v>0</v>
      </c>
      <c r="L333" s="331">
        <f>+IF(SUM($F399:K399)&gt;=L464*$F$9,0,L399)</f>
        <v>0</v>
      </c>
      <c r="M333" s="331">
        <f>+IF(SUM($F399:L399)&gt;=M464*$F$9,0,M399)</f>
        <v>0</v>
      </c>
      <c r="N333" s="331">
        <f>+IF(SUM($F399:M399)&gt;=N464*$F$9,0,N399)</f>
        <v>0</v>
      </c>
      <c r="O333" s="331">
        <f>+IF(SUM($F399:N399)&gt;=O464*$F$9,0,O399)</f>
        <v>0</v>
      </c>
      <c r="P333" s="331">
        <f>+IF(SUM($F399:O399)&gt;=P464*$F$9,0,P399)</f>
        <v>0</v>
      </c>
      <c r="Q333" s="331">
        <f>+IF(SUM($F399:P399)&gt;=Q464*$F$9,0,Q399)</f>
        <v>0</v>
      </c>
      <c r="R333" s="331">
        <f>+IF(SUM($F399:Q399)&gt;=R464*$F$9,0,R399)</f>
        <v>0</v>
      </c>
      <c r="S333" s="331">
        <f>+IF(SUM($F399:R399)&gt;=S464*$F$9,0,S399)</f>
        <v>0</v>
      </c>
      <c r="T333" s="331">
        <f>+IF(SUM($F399:S399)&gt;=T464*$F$9,0,T399)</f>
        <v>0</v>
      </c>
      <c r="U333" s="331">
        <f>+IF(SUM($F399:T399)&gt;=U464*$F$9,0,U399)</f>
        <v>0</v>
      </c>
      <c r="V333" s="331">
        <f>+IF(SUM($F399:U399)&gt;=V464*$F$9,0,V399)</f>
        <v>0</v>
      </c>
      <c r="W333" s="331">
        <f>+IF(SUM($F399:V399)&gt;=W464*$F$9,0,W399)</f>
        <v>0</v>
      </c>
      <c r="X333" s="331">
        <f>+IF(SUM($F399:W399)&gt;=X464*$F$9,0,X399)</f>
        <v>0</v>
      </c>
      <c r="Y333" s="331">
        <f>+IF(SUM($F399:X399)&gt;=Y464*$F$9,0,Y399)</f>
        <v>0</v>
      </c>
      <c r="Z333" s="331">
        <f>+IF(SUM($F399:Y399)&gt;=Z464*$F$9,0,Z399)</f>
        <v>0</v>
      </c>
      <c r="AA333" s="331">
        <f>+IF(SUM($F399:Z399)&gt;=AA464*$F$9,0,AA399)</f>
        <v>0</v>
      </c>
      <c r="AB333" s="331">
        <f>+IF(SUM($F399:AA399)&gt;=AB464*$F$9,0,AB399)</f>
        <v>0</v>
      </c>
      <c r="AC333" s="331">
        <f>+IF(SUM($F399:AB399)&gt;=AC464*$F$9,0,AC399)</f>
        <v>0</v>
      </c>
      <c r="AD333" s="331">
        <f>+IF(SUM($F399:AC399)&gt;=AD464*$F$9,0,AD399)</f>
        <v>0</v>
      </c>
      <c r="AE333" s="331">
        <f>+IF(SUM($F399:AD399)&gt;=AE464*$F$9,0,AE399)</f>
        <v>0</v>
      </c>
      <c r="AF333" s="331">
        <f>+IF(SUM($F399:AE399)&gt;=AF464*$F$9,0,AF399)</f>
        <v>0</v>
      </c>
      <c r="AG333" s="331">
        <f>+IF(SUM($F399:AF399)&gt;=AG464*$F$9,0,AG399)</f>
        <v>0</v>
      </c>
      <c r="AH333" s="331">
        <f>+IF(SUM($F399:AG399)&gt;=AH464*$F$9,0,AH399)</f>
        <v>0</v>
      </c>
      <c r="AI333" s="331">
        <f>+IF(SUM($F399:AH399)&gt;=AI464*$F$9,0,AI399)</f>
        <v>0</v>
      </c>
      <c r="AJ333" s="331">
        <f>+IF(SUM($F399:AI399)&gt;=AJ464*$F$9,0,AJ399)</f>
        <v>0</v>
      </c>
      <c r="AK333" s="331">
        <f>+IF(SUM($F399:AJ399)&gt;=AK464*$F$9,0,AK399)</f>
        <v>0</v>
      </c>
      <c r="AL333" s="331">
        <f>+IF(SUM($F399:AK399)&gt;=AL464*$F$9,0,AL399)</f>
        <v>0</v>
      </c>
      <c r="AM333" s="331">
        <f>+IF(SUM($F399:AL399)&gt;=AM464*$F$9,0,AM399)</f>
        <v>0</v>
      </c>
      <c r="AN333" s="331">
        <f>+IF(SUM($F399:AM399)&gt;=AN464*$F$9,0,AN399)</f>
        <v>0</v>
      </c>
      <c r="AO333" s="331">
        <f>+IF(SUM($F399:AN399)&gt;=AO464*$F$9,0,AO399)</f>
        <v>0</v>
      </c>
      <c r="AP333" s="331">
        <f>+IF(SUM($F399:AO399)&gt;=AP464*$F$9,0,AP399)</f>
        <v>0</v>
      </c>
      <c r="AQ333" s="331">
        <f>+IF(SUM($F399:AP399)&gt;=AQ464*$F$9,0,AQ399)</f>
        <v>0</v>
      </c>
      <c r="AR333" s="331">
        <f>+IF(SUM($F399:AQ399)&gt;=AR464*$F$9,0,AR399)</f>
        <v>0</v>
      </c>
      <c r="AS333" s="331">
        <f>+IF(SUM($F399:AR399)&gt;=AS464*$F$9,0,AS399)</f>
        <v>0</v>
      </c>
      <c r="AT333" s="331">
        <f>+IF(SUM($F399:AS399)&gt;=AT464*$F$9,0,AT399)</f>
        <v>0</v>
      </c>
      <c r="AU333" s="331">
        <f>+IF(SUM($F399:AT399)&gt;=AU464*$F$9,0,AU399)</f>
        <v>0</v>
      </c>
      <c r="AV333" s="331">
        <f>+IF(SUM($F399:AU399)&gt;=AV464*$F$9,0,AV399)</f>
        <v>0</v>
      </c>
      <c r="AW333" s="331">
        <f>+IF(SUM($F399:AV399)&gt;=AW464*$F$9,0,AW399)</f>
        <v>0</v>
      </c>
      <c r="AX333" s="331">
        <f>+IF(SUM($F399:AW399)&gt;=AX464*$F$9,0,AX399)</f>
        <v>0</v>
      </c>
      <c r="AY333" s="331">
        <f>+IF(SUM($F399:AX399)&gt;=AY464*$F$9,0,AY399)</f>
        <v>0</v>
      </c>
      <c r="AZ333" s="331">
        <f>+IF(SUM($F399:AY399)&gt;=AZ464*$F$9,0,AZ399)</f>
        <v>0</v>
      </c>
      <c r="BA333" s="331">
        <f>+IF(SUM($F399:AZ399)&gt;=BA464*$F$9,0,BA399)</f>
        <v>0</v>
      </c>
      <c r="BB333" s="331">
        <f>+IF(SUM($F399:BA399)&gt;=BB464*$F$9,0,BB399)</f>
        <v>0</v>
      </c>
      <c r="BC333" s="331">
        <f>+IF(SUM($F399:BB399)&gt;=BC464*$F$9,0,BC399)</f>
        <v>0</v>
      </c>
      <c r="BD333" s="331">
        <f>+IF(SUM($F399:BC399)&gt;=BD464*$F$9,0,BD399)</f>
        <v>0</v>
      </c>
      <c r="BE333" s="331">
        <f>+IF(SUM($F399:BD399)&gt;=BE464*$F$9,0,BE399)</f>
        <v>0</v>
      </c>
      <c r="BF333" s="331">
        <f>+IF(SUM($F399:BE399)&gt;=BF464*$F$9,0,BF399)</f>
        <v>0</v>
      </c>
      <c r="BG333" s="331">
        <f>+IF(SUM($F399:BF399)&gt;=BG464*$F$9,0,BG399)</f>
        <v>0</v>
      </c>
      <c r="BH333" s="331">
        <f>+IF(SUM($F399:BG399)&gt;=BH464*$F$9,0,BH399)</f>
        <v>0</v>
      </c>
      <c r="BI333" s="331">
        <f>+IF(SUM($F399:BH399)&gt;=BI464*$F$9,0,BI399)</f>
        <v>0</v>
      </c>
      <c r="BJ333" s="331">
        <f>+IF(SUM($F399:BI399)&gt;=BJ464*$F$9,0,BJ399)</f>
        <v>0</v>
      </c>
      <c r="BK333" s="331">
        <f>+IF(SUM($F399:BJ399)&gt;=BK464*$F$9,0,BK399)</f>
        <v>0</v>
      </c>
      <c r="BL333" s="331">
        <f>+IF(SUM($F399:BK399)&gt;=BL464*$F$9,0,BL399)</f>
        <v>0</v>
      </c>
      <c r="BM333" s="331">
        <f>+IF(SUM($F399:BL399)&gt;=BM464*$F$9,0,BM399)</f>
        <v>0</v>
      </c>
    </row>
    <row r="334" spans="5:65" s="421" customFormat="1" ht="31.95" customHeight="1" thickBot="1">
      <c r="E334" s="425" t="s">
        <v>212</v>
      </c>
      <c r="F334" s="419">
        <f>+SUM(F274:F333)</f>
        <v>0</v>
      </c>
      <c r="G334" s="419">
        <f aca="true" t="shared" si="194" ref="G334:BM334">+SUM(G274:G333)</f>
        <v>0</v>
      </c>
      <c r="H334" s="419">
        <f t="shared" si="194"/>
        <v>0</v>
      </c>
      <c r="I334" s="419">
        <f t="shared" si="194"/>
        <v>0</v>
      </c>
      <c r="J334" s="419">
        <f t="shared" si="194"/>
        <v>0</v>
      </c>
      <c r="K334" s="419">
        <f t="shared" si="194"/>
        <v>0</v>
      </c>
      <c r="L334" s="419">
        <f t="shared" si="194"/>
        <v>0</v>
      </c>
      <c r="M334" s="419">
        <f t="shared" si="194"/>
        <v>0</v>
      </c>
      <c r="N334" s="419">
        <f t="shared" si="194"/>
        <v>0</v>
      </c>
      <c r="O334" s="419">
        <f t="shared" si="194"/>
        <v>0</v>
      </c>
      <c r="P334" s="419">
        <f t="shared" si="194"/>
        <v>0</v>
      </c>
      <c r="Q334" s="419">
        <f t="shared" si="194"/>
        <v>0</v>
      </c>
      <c r="R334" s="419">
        <f t="shared" si="194"/>
        <v>0</v>
      </c>
      <c r="S334" s="419">
        <f t="shared" si="194"/>
        <v>0</v>
      </c>
      <c r="T334" s="419">
        <f t="shared" si="194"/>
        <v>0</v>
      </c>
      <c r="U334" s="419">
        <f t="shared" si="194"/>
        <v>0</v>
      </c>
      <c r="V334" s="419">
        <f t="shared" si="194"/>
        <v>0</v>
      </c>
      <c r="W334" s="419">
        <f t="shared" si="194"/>
        <v>0</v>
      </c>
      <c r="X334" s="419">
        <f t="shared" si="194"/>
        <v>0</v>
      </c>
      <c r="Y334" s="419">
        <f t="shared" si="194"/>
        <v>0</v>
      </c>
      <c r="Z334" s="419">
        <f t="shared" si="194"/>
        <v>0</v>
      </c>
      <c r="AA334" s="419">
        <f t="shared" si="194"/>
        <v>0</v>
      </c>
      <c r="AB334" s="419">
        <f t="shared" si="194"/>
        <v>0</v>
      </c>
      <c r="AC334" s="419">
        <f t="shared" si="194"/>
        <v>0</v>
      </c>
      <c r="AD334" s="419">
        <f t="shared" si="194"/>
        <v>0</v>
      </c>
      <c r="AE334" s="419">
        <f t="shared" si="194"/>
        <v>0</v>
      </c>
      <c r="AF334" s="419">
        <f t="shared" si="194"/>
        <v>0</v>
      </c>
      <c r="AG334" s="419">
        <f t="shared" si="194"/>
        <v>0</v>
      </c>
      <c r="AH334" s="419">
        <f t="shared" si="194"/>
        <v>0</v>
      </c>
      <c r="AI334" s="419">
        <f t="shared" si="194"/>
        <v>0</v>
      </c>
      <c r="AJ334" s="419">
        <f t="shared" si="194"/>
        <v>0</v>
      </c>
      <c r="AK334" s="419">
        <f t="shared" si="194"/>
        <v>0</v>
      </c>
      <c r="AL334" s="419">
        <f t="shared" si="194"/>
        <v>0</v>
      </c>
      <c r="AM334" s="419">
        <f t="shared" si="194"/>
        <v>0</v>
      </c>
      <c r="AN334" s="419">
        <f t="shared" si="194"/>
        <v>0</v>
      </c>
      <c r="AO334" s="419">
        <f t="shared" si="194"/>
        <v>0</v>
      </c>
      <c r="AP334" s="419">
        <f t="shared" si="194"/>
        <v>0</v>
      </c>
      <c r="AQ334" s="419">
        <f t="shared" si="194"/>
        <v>0</v>
      </c>
      <c r="AR334" s="419">
        <f t="shared" si="194"/>
        <v>0</v>
      </c>
      <c r="AS334" s="419">
        <f t="shared" si="194"/>
        <v>0</v>
      </c>
      <c r="AT334" s="419">
        <f t="shared" si="194"/>
        <v>0</v>
      </c>
      <c r="AU334" s="419">
        <f t="shared" si="194"/>
        <v>0</v>
      </c>
      <c r="AV334" s="419">
        <f t="shared" si="194"/>
        <v>0</v>
      </c>
      <c r="AW334" s="419">
        <f t="shared" si="194"/>
        <v>0</v>
      </c>
      <c r="AX334" s="419">
        <f t="shared" si="194"/>
        <v>0</v>
      </c>
      <c r="AY334" s="419">
        <f t="shared" si="194"/>
        <v>0</v>
      </c>
      <c r="AZ334" s="419">
        <f t="shared" si="194"/>
        <v>0</v>
      </c>
      <c r="BA334" s="419">
        <f t="shared" si="194"/>
        <v>0</v>
      </c>
      <c r="BB334" s="419">
        <f t="shared" si="194"/>
        <v>0</v>
      </c>
      <c r="BC334" s="419">
        <f t="shared" si="194"/>
        <v>0</v>
      </c>
      <c r="BD334" s="419">
        <f t="shared" si="194"/>
        <v>0</v>
      </c>
      <c r="BE334" s="419">
        <f t="shared" si="194"/>
        <v>0</v>
      </c>
      <c r="BF334" s="419">
        <f t="shared" si="194"/>
        <v>0</v>
      </c>
      <c r="BG334" s="419">
        <f t="shared" si="194"/>
        <v>0</v>
      </c>
      <c r="BH334" s="419">
        <f t="shared" si="194"/>
        <v>0</v>
      </c>
      <c r="BI334" s="419">
        <f t="shared" si="194"/>
        <v>0</v>
      </c>
      <c r="BJ334" s="419">
        <f t="shared" si="194"/>
        <v>0</v>
      </c>
      <c r="BK334" s="419">
        <f t="shared" si="194"/>
        <v>0</v>
      </c>
      <c r="BL334" s="419">
        <f t="shared" si="194"/>
        <v>0</v>
      </c>
      <c r="BM334" s="420">
        <f t="shared" si="194"/>
        <v>0</v>
      </c>
    </row>
    <row r="339" spans="6:65" s="113" customFormat="1" ht="36" customHeight="1">
      <c r="F339" s="416">
        <v>43466</v>
      </c>
      <c r="G339" s="416">
        <f>+F339+31</f>
        <v>43497</v>
      </c>
      <c r="H339" s="416">
        <f aca="true" t="shared" si="195" ref="H339:BA339">+G339+31</f>
        <v>43528</v>
      </c>
      <c r="I339" s="416">
        <f t="shared" si="195"/>
        <v>43559</v>
      </c>
      <c r="J339" s="416">
        <f t="shared" si="195"/>
        <v>43590</v>
      </c>
      <c r="K339" s="416">
        <f t="shared" si="195"/>
        <v>43621</v>
      </c>
      <c r="L339" s="416">
        <f t="shared" si="195"/>
        <v>43652</v>
      </c>
      <c r="M339" s="416">
        <f t="shared" si="195"/>
        <v>43683</v>
      </c>
      <c r="N339" s="416">
        <f t="shared" si="195"/>
        <v>43714</v>
      </c>
      <c r="O339" s="416">
        <f t="shared" si="195"/>
        <v>43745</v>
      </c>
      <c r="P339" s="416">
        <f t="shared" si="195"/>
        <v>43776</v>
      </c>
      <c r="Q339" s="416">
        <f t="shared" si="195"/>
        <v>43807</v>
      </c>
      <c r="R339" s="416">
        <f t="shared" si="195"/>
        <v>43838</v>
      </c>
      <c r="S339" s="416">
        <f t="shared" si="195"/>
        <v>43869</v>
      </c>
      <c r="T339" s="416">
        <f t="shared" si="195"/>
        <v>43900</v>
      </c>
      <c r="U339" s="416">
        <f t="shared" si="195"/>
        <v>43931</v>
      </c>
      <c r="V339" s="416">
        <f t="shared" si="195"/>
        <v>43962</v>
      </c>
      <c r="W339" s="416">
        <f t="shared" si="195"/>
        <v>43993</v>
      </c>
      <c r="X339" s="416">
        <f t="shared" si="195"/>
        <v>44024</v>
      </c>
      <c r="Y339" s="416">
        <f t="shared" si="195"/>
        <v>44055</v>
      </c>
      <c r="Z339" s="416">
        <f t="shared" si="195"/>
        <v>44086</v>
      </c>
      <c r="AA339" s="416">
        <f t="shared" si="195"/>
        <v>44117</v>
      </c>
      <c r="AB339" s="416">
        <f t="shared" si="195"/>
        <v>44148</v>
      </c>
      <c r="AC339" s="416">
        <f t="shared" si="195"/>
        <v>44179</v>
      </c>
      <c r="AD339" s="416">
        <f t="shared" si="195"/>
        <v>44210</v>
      </c>
      <c r="AE339" s="416">
        <f t="shared" si="195"/>
        <v>44241</v>
      </c>
      <c r="AF339" s="416">
        <f t="shared" si="195"/>
        <v>44272</v>
      </c>
      <c r="AG339" s="416">
        <f t="shared" si="195"/>
        <v>44303</v>
      </c>
      <c r="AH339" s="416">
        <f t="shared" si="195"/>
        <v>44334</v>
      </c>
      <c r="AI339" s="416">
        <f t="shared" si="195"/>
        <v>44365</v>
      </c>
      <c r="AJ339" s="416">
        <f t="shared" si="195"/>
        <v>44396</v>
      </c>
      <c r="AK339" s="416">
        <f t="shared" si="195"/>
        <v>44427</v>
      </c>
      <c r="AL339" s="416">
        <f t="shared" si="195"/>
        <v>44458</v>
      </c>
      <c r="AM339" s="416">
        <f t="shared" si="195"/>
        <v>44489</v>
      </c>
      <c r="AN339" s="416">
        <f t="shared" si="195"/>
        <v>44520</v>
      </c>
      <c r="AO339" s="416">
        <f t="shared" si="195"/>
        <v>44551</v>
      </c>
      <c r="AP339" s="416">
        <f t="shared" si="195"/>
        <v>44582</v>
      </c>
      <c r="AQ339" s="416">
        <f t="shared" si="195"/>
        <v>44613</v>
      </c>
      <c r="AR339" s="416">
        <f t="shared" si="195"/>
        <v>44644</v>
      </c>
      <c r="AS339" s="416">
        <f t="shared" si="195"/>
        <v>44675</v>
      </c>
      <c r="AT339" s="416">
        <f t="shared" si="195"/>
        <v>44706</v>
      </c>
      <c r="AU339" s="416">
        <f t="shared" si="195"/>
        <v>44737</v>
      </c>
      <c r="AV339" s="416">
        <f t="shared" si="195"/>
        <v>44768</v>
      </c>
      <c r="AW339" s="416">
        <f t="shared" si="195"/>
        <v>44799</v>
      </c>
      <c r="AX339" s="416">
        <f t="shared" si="195"/>
        <v>44830</v>
      </c>
      <c r="AY339" s="416">
        <f t="shared" si="195"/>
        <v>44861</v>
      </c>
      <c r="AZ339" s="416">
        <f t="shared" si="195"/>
        <v>44892</v>
      </c>
      <c r="BA339" s="416">
        <f t="shared" si="195"/>
        <v>44923</v>
      </c>
      <c r="BB339" s="416">
        <f aca="true" t="shared" si="196" ref="BB339">+BA339+31</f>
        <v>44954</v>
      </c>
      <c r="BC339" s="416">
        <f aca="true" t="shared" si="197" ref="BC339">+BB339+31</f>
        <v>44985</v>
      </c>
      <c r="BD339" s="416">
        <f aca="true" t="shared" si="198" ref="BD339">+BC339+31</f>
        <v>45016</v>
      </c>
      <c r="BE339" s="416">
        <f>+BD339+10</f>
        <v>45026</v>
      </c>
      <c r="BF339" s="416">
        <f aca="true" t="shared" si="199" ref="BF339">+BE339+31</f>
        <v>45057</v>
      </c>
      <c r="BG339" s="416">
        <f aca="true" t="shared" si="200" ref="BG339">+BF339+31</f>
        <v>45088</v>
      </c>
      <c r="BH339" s="416">
        <f aca="true" t="shared" si="201" ref="BH339">+BG339+31</f>
        <v>45119</v>
      </c>
      <c r="BI339" s="416">
        <f aca="true" t="shared" si="202" ref="BI339">+BH339+31</f>
        <v>45150</v>
      </c>
      <c r="BJ339" s="416">
        <f aca="true" t="shared" si="203" ref="BJ339">+BI339+31</f>
        <v>45181</v>
      </c>
      <c r="BK339" s="416">
        <f aca="true" t="shared" si="204" ref="BK339">+BJ339+31</f>
        <v>45212</v>
      </c>
      <c r="BL339" s="416">
        <f aca="true" t="shared" si="205" ref="BL339">+BK339+31</f>
        <v>45243</v>
      </c>
      <c r="BM339" s="416">
        <f aca="true" t="shared" si="206" ref="BM339">+BL339+31</f>
        <v>45274</v>
      </c>
    </row>
    <row r="340" spans="5:65" s="331" customFormat="1" ht="15.75">
      <c r="E340" s="416">
        <v>43466</v>
      </c>
      <c r="F340" s="331">
        <f>+F405</f>
        <v>0</v>
      </c>
      <c r="G340" s="331">
        <f>+IF($F$10=0,G405,0)</f>
        <v>0</v>
      </c>
      <c r="H340" s="331">
        <f>+IF($F$10=0,H405,IF($F$10=30,H405,0))</f>
        <v>0</v>
      </c>
      <c r="I340" s="331">
        <f>+IF($F$10=0,I405,IF($F$10=30,0,I405))</f>
        <v>0</v>
      </c>
      <c r="J340" s="331">
        <f>+IF($F$10=0,J405,IF($F$10=30,J405,0))</f>
        <v>0</v>
      </c>
      <c r="K340" s="331">
        <f>+IF($F$10=0,K405,0)</f>
        <v>0</v>
      </c>
      <c r="L340" s="331">
        <f>+L405</f>
        <v>0</v>
      </c>
      <c r="M340" s="331">
        <f>+IF($F$10=0,M405,0)</f>
        <v>0</v>
      </c>
      <c r="N340" s="331">
        <f>+IF($F$10=0,N405,IF($F$10=30,N405,0))</f>
        <v>0</v>
      </c>
      <c r="O340" s="331">
        <f>+IF($F$10=0,O405,IF($F$10=30,0,O405))</f>
        <v>0</v>
      </c>
      <c r="P340" s="331">
        <f>+IF($F$10=0,P405,IF($F$10=30,P405,0))</f>
        <v>0</v>
      </c>
      <c r="Q340" s="331">
        <f>+IF($F$10=0,Q405,0)</f>
        <v>0</v>
      </c>
      <c r="R340" s="331">
        <f>+R405</f>
        <v>0</v>
      </c>
      <c r="S340" s="331">
        <f>+IF($F$10=0,S405,0)</f>
        <v>0</v>
      </c>
      <c r="T340" s="331">
        <f>+IF($F$10=0,T405,IF($F$10=30,T405,0))</f>
        <v>0</v>
      </c>
      <c r="U340" s="331">
        <f>+IF($F$10=0,U405,IF($F$10=30,0,U405))</f>
        <v>0</v>
      </c>
      <c r="V340" s="331">
        <f>+IF($F$10=0,V405,IF($F$10=30,V405,0))</f>
        <v>0</v>
      </c>
      <c r="W340" s="331">
        <f>+IF($F$10=0,W405,0)</f>
        <v>0</v>
      </c>
      <c r="X340" s="331">
        <f>+X405</f>
        <v>0</v>
      </c>
      <c r="Y340" s="331">
        <f>+IF($F$10=0,Y405,0)</f>
        <v>0</v>
      </c>
      <c r="Z340" s="331">
        <f>+IF($F$10=0,Z405,IF($F$10=30,Z405,0))</f>
        <v>0</v>
      </c>
      <c r="AA340" s="331">
        <f>+IF($F$10=0,AA405,IF($F$10=30,0,AA405))</f>
        <v>0</v>
      </c>
      <c r="AB340" s="331">
        <f>+IF($F$10=0,AB405,IF($F$10=30,AB405,0))</f>
        <v>0</v>
      </c>
      <c r="AC340" s="331">
        <f>+IF($F$10=0,AC405,0)</f>
        <v>0</v>
      </c>
      <c r="AD340" s="331">
        <f>+AD405</f>
        <v>0</v>
      </c>
      <c r="AE340" s="331">
        <f>+IF($F$10=0,AE405,0)</f>
        <v>0</v>
      </c>
      <c r="AF340" s="331">
        <f>+IF($F$10=0,AF405,IF($F$10=30,AF405,0))</f>
        <v>0</v>
      </c>
      <c r="AG340" s="331">
        <f>+IF($F$10=0,AG405,IF($F$10=30,0,AG405))</f>
        <v>0</v>
      </c>
      <c r="AH340" s="331">
        <f>+IF($F$10=0,AH405,IF($F$10=30,AH405,0))</f>
        <v>0</v>
      </c>
      <c r="AI340" s="331">
        <f>+IF($F$10=0,AI405,0)</f>
        <v>0</v>
      </c>
      <c r="AJ340" s="331">
        <f>+AJ405</f>
        <v>0</v>
      </c>
      <c r="AK340" s="331">
        <f>+IF($F$10=0,AK405,0)</f>
        <v>0</v>
      </c>
      <c r="AL340" s="331">
        <f>+IF($F$10=0,AL405,IF($F$10=30,AL405,0))</f>
        <v>0</v>
      </c>
      <c r="AM340" s="331">
        <f>+IF($F$10=0,AM405,IF($F$10=30,0,AM405))</f>
        <v>0</v>
      </c>
      <c r="AN340" s="331">
        <f>+IF($F$10=0,AN405,IF($F$10=30,AN405,0))</f>
        <v>0</v>
      </c>
      <c r="AO340" s="331">
        <f>+IF($F$10=0,AO405,0)</f>
        <v>0</v>
      </c>
      <c r="AP340" s="331">
        <f>+AP405</f>
        <v>0</v>
      </c>
      <c r="AQ340" s="331">
        <f>+IF($F$10=0,AQ405,0)</f>
        <v>0</v>
      </c>
      <c r="AR340" s="331">
        <f>+IF($F$10=0,AR405,IF($F$10=30,AR405,0))</f>
        <v>0</v>
      </c>
      <c r="AS340" s="331">
        <f>+IF($F$10=0,AS405,IF($F$10=30,0,AS405))</f>
        <v>0</v>
      </c>
      <c r="AT340" s="331">
        <f>+IF($F$10=0,AT405,IF($F$10=30,AT405,0))</f>
        <v>0</v>
      </c>
      <c r="AU340" s="331">
        <f>+IF($F$10=0,AU405,0)</f>
        <v>0</v>
      </c>
      <c r="AV340" s="331">
        <f>+AV405</f>
        <v>0</v>
      </c>
      <c r="AW340" s="331">
        <f>+IF($F$10=0,AW405,0)</f>
        <v>0</v>
      </c>
      <c r="AX340" s="331">
        <f>+IF($F$10=0,AX405,IF($F$10=30,AX405,0))</f>
        <v>0</v>
      </c>
      <c r="AY340" s="331">
        <f>+IF($F$10=0,AY405,IF($F$10=30,0,AY405))</f>
        <v>0</v>
      </c>
      <c r="AZ340" s="331">
        <f>+IF($F$10=0,AZ405,IF($F$10=30,AZ405,0))</f>
        <v>0</v>
      </c>
      <c r="BA340" s="331">
        <f>+IF($F$10=0,BA405,0)</f>
        <v>0</v>
      </c>
      <c r="BB340" s="331">
        <f>+BB405</f>
        <v>0</v>
      </c>
      <c r="BC340" s="331">
        <f>+IF($F$10=0,BC405,0)</f>
        <v>0</v>
      </c>
      <c r="BD340" s="331">
        <f>+IF($F$10=0,BD405,IF($F$10=30,BD405,0))</f>
        <v>0</v>
      </c>
      <c r="BE340" s="331">
        <f>+IF($F$10=0,BE405,IF($F$10=30,0,BE405))</f>
        <v>0</v>
      </c>
      <c r="BF340" s="331">
        <f>+IF($F$10=0,BF405,IF($F$10=30,BF405,0))</f>
        <v>0</v>
      </c>
      <c r="BG340" s="331">
        <f>+IF($F$10=0,BG405,0)</f>
        <v>0</v>
      </c>
      <c r="BH340" s="331">
        <f>+BH405</f>
        <v>0</v>
      </c>
      <c r="BI340" s="331">
        <f>+IF($F$10=0,BI405,0)</f>
        <v>0</v>
      </c>
      <c r="BJ340" s="331">
        <f>+IF($F$10=0,BJ405,IF($F$10=30,BJ405,0))</f>
        <v>0</v>
      </c>
      <c r="BK340" s="331">
        <f>+IF($F$10=0,BK405,IF($F$10=30,0,BK405))</f>
        <v>0</v>
      </c>
      <c r="BL340" s="331">
        <f>+IF($F$10=0,BL405,IF($F$10=30,BL405,0))</f>
        <v>0</v>
      </c>
      <c r="BM340" s="331">
        <f>+IF($F$10=0,BM405,0)</f>
        <v>0</v>
      </c>
    </row>
    <row r="341" spans="5:66" ht="15.75">
      <c r="E341" s="416">
        <f>+E340+31</f>
        <v>43497</v>
      </c>
      <c r="F341" s="331"/>
      <c r="G341" s="331">
        <f>+G406</f>
        <v>0</v>
      </c>
      <c r="H341" s="331">
        <f>+IF($F$10=0,H406,0)</f>
        <v>0</v>
      </c>
      <c r="I341" s="331">
        <f>+IF($F$10=0,I406,IF($F$10=30,I406,0))</f>
        <v>0</v>
      </c>
      <c r="J341" s="331">
        <f>+IF($F$10=0,J406,IF($F$10=30,0,J406))</f>
        <v>0</v>
      </c>
      <c r="K341" s="331">
        <f>+IF($F$10=0,K406,IF($F$10=30,K406,0))</f>
        <v>0</v>
      </c>
      <c r="L341" s="331">
        <f>+IF($F$10=0,L406,0)</f>
        <v>0</v>
      </c>
      <c r="M341" s="331">
        <f>+M406</f>
        <v>0</v>
      </c>
      <c r="N341" s="331">
        <f>+IF($F$10=0,N406,0)</f>
        <v>0</v>
      </c>
      <c r="O341" s="331">
        <f>+IF($F$10=0,O406,IF($F$10=30,O406,0))</f>
        <v>0</v>
      </c>
      <c r="P341" s="331">
        <f>+IF($F$10=0,P406,IF($F$10=30,0,P406))</f>
        <v>0</v>
      </c>
      <c r="Q341" s="331">
        <f>+IF($F$10=0,Q406,IF($F$10=30,Q406,0))</f>
        <v>0</v>
      </c>
      <c r="R341" s="331">
        <f>+IF($F$10=0,R406,0)</f>
        <v>0</v>
      </c>
      <c r="S341" s="331">
        <f>+S406</f>
        <v>0</v>
      </c>
      <c r="T341" s="331">
        <f>+IF($F$10=0,T406,0)</f>
        <v>0</v>
      </c>
      <c r="U341" s="331">
        <f>+IF($F$10=0,U406,IF($F$10=30,U406,0))</f>
        <v>0</v>
      </c>
      <c r="V341" s="331">
        <f>+IF($F$10=0,V406,IF($F$10=30,0,V406))</f>
        <v>0</v>
      </c>
      <c r="W341" s="331">
        <f>+IF($F$10=0,W406,IF($F$10=30,W406,0))</f>
        <v>0</v>
      </c>
      <c r="X341" s="331">
        <f>+IF($F$10=0,X406,0)</f>
        <v>0</v>
      </c>
      <c r="Y341" s="331">
        <f>+Y406</f>
        <v>0</v>
      </c>
      <c r="Z341" s="331">
        <f>+IF($F$10=0,Z406,0)</f>
        <v>0</v>
      </c>
      <c r="AA341" s="331">
        <f>+IF($F$10=0,AA406,IF($F$10=30,AA406,0))</f>
        <v>0</v>
      </c>
      <c r="AB341" s="331">
        <f>+IF($F$10=0,AB406,IF($F$10=30,0,AB406))</f>
        <v>0</v>
      </c>
      <c r="AC341" s="331">
        <f>+IF($F$10=0,AC406,IF($F$10=30,AC406,0))</f>
        <v>0</v>
      </c>
      <c r="AD341" s="331">
        <f>+IF($F$10=0,AD406,0)</f>
        <v>0</v>
      </c>
      <c r="AE341" s="331">
        <f>+AE406</f>
        <v>0</v>
      </c>
      <c r="AF341" s="331">
        <f>+IF($F$10=0,AF406,0)</f>
        <v>0</v>
      </c>
      <c r="AG341" s="331">
        <f>+IF($F$10=0,AG406,IF($F$10=30,AG406,0))</f>
        <v>0</v>
      </c>
      <c r="AH341" s="331">
        <f>+IF($F$10=0,AH406,IF($F$10=30,0,AH406))</f>
        <v>0</v>
      </c>
      <c r="AI341" s="331">
        <f>+IF($F$10=0,AI406,IF($F$10=30,AI406,0))</f>
        <v>0</v>
      </c>
      <c r="AJ341" s="331">
        <f>+IF($F$10=0,AJ406,0)</f>
        <v>0</v>
      </c>
      <c r="AK341" s="331">
        <f>+AK406</f>
        <v>0</v>
      </c>
      <c r="AL341" s="331">
        <f>+IF($F$10=0,AL406,0)</f>
        <v>0</v>
      </c>
      <c r="AM341" s="331">
        <f>+IF($F$10=0,AM406,IF($F$10=30,AM406,0))</f>
        <v>0</v>
      </c>
      <c r="AN341" s="331">
        <f>+IF($F$10=0,AN406,IF($F$10=30,0,AN406))</f>
        <v>0</v>
      </c>
      <c r="AO341" s="331">
        <f>+IF($F$10=0,AO406,IF($F$10=30,AO406,0))</f>
        <v>0</v>
      </c>
      <c r="AP341" s="331">
        <f>+IF($F$10=0,AP406,0)</f>
        <v>0</v>
      </c>
      <c r="AQ341" s="331">
        <f>+AQ406</f>
        <v>0</v>
      </c>
      <c r="AR341" s="331">
        <f>+IF($F$10=0,AR406,0)</f>
        <v>0</v>
      </c>
      <c r="AS341" s="331">
        <f>+IF($F$10=0,AS406,IF($F$10=30,AS406,0))</f>
        <v>0</v>
      </c>
      <c r="AT341" s="331">
        <f>+IF($F$10=0,AT406,IF($F$10=30,0,AT406))</f>
        <v>0</v>
      </c>
      <c r="AU341" s="331">
        <f>+IF($F$10=0,AU406,IF($F$10=30,AU406,0))</f>
        <v>0</v>
      </c>
      <c r="AV341" s="331">
        <f>+IF($F$10=0,AV406,0)</f>
        <v>0</v>
      </c>
      <c r="AW341" s="331">
        <f>+AW406</f>
        <v>0</v>
      </c>
      <c r="AX341" s="331">
        <f>+IF($F$10=0,AX406,0)</f>
        <v>0</v>
      </c>
      <c r="AY341" s="331">
        <f>+IF($F$10=0,AY406,IF($F$10=30,AY406,0))</f>
        <v>0</v>
      </c>
      <c r="AZ341" s="331">
        <f>+IF($F$10=0,AZ406,IF($F$10=30,0,AZ406))</f>
        <v>0</v>
      </c>
      <c r="BA341" s="331">
        <f>+IF($F$10=0,BA406,IF($F$10=30,BA406,0))</f>
        <v>0</v>
      </c>
      <c r="BB341" s="331">
        <f>+IF($F$10=0,BB406,0)</f>
        <v>0</v>
      </c>
      <c r="BC341" s="331">
        <f>+BC406</f>
        <v>0</v>
      </c>
      <c r="BD341" s="331">
        <f>+IF($F$10=0,BD406,0)</f>
        <v>0</v>
      </c>
      <c r="BE341" s="331">
        <f>+IF($F$10=0,BE406,IF($F$10=30,BE406,0))</f>
        <v>0</v>
      </c>
      <c r="BF341" s="331">
        <f>+IF($F$10=0,BF406,IF($F$10=30,0,BF406))</f>
        <v>0</v>
      </c>
      <c r="BG341" s="331">
        <f>+IF($F$10=0,BG406,IF($F$10=30,BG406,0))</f>
        <v>0</v>
      </c>
      <c r="BH341" s="331">
        <f>+IF($F$10=0,BH406,0)</f>
        <v>0</v>
      </c>
      <c r="BI341" s="331">
        <f>+BI406</f>
        <v>0</v>
      </c>
      <c r="BJ341" s="331">
        <f>+IF($F$10=0,BJ406,0)</f>
        <v>0</v>
      </c>
      <c r="BK341" s="331">
        <f>+IF($F$10=0,BK406,IF($F$10=30,BK406,0))</f>
        <v>0</v>
      </c>
      <c r="BL341" s="331">
        <f>+IF($F$10=0,BL406,IF($F$10=30,0,BL406))</f>
        <v>0</v>
      </c>
      <c r="BM341" s="331">
        <f>+IF($F$10=0,BM406,IF($F$10=30,BM406,0))</f>
        <v>0</v>
      </c>
      <c r="BN341" s="331"/>
    </row>
    <row r="342" spans="5:67" ht="15.75">
      <c r="E342" s="416">
        <f aca="true" t="shared" si="207" ref="E342:E399">+E341+31</f>
        <v>43528</v>
      </c>
      <c r="F342" s="331"/>
      <c r="G342" s="331"/>
      <c r="H342" s="331">
        <f>+H407</f>
        <v>0</v>
      </c>
      <c r="I342" s="331">
        <f>+IF($F$10=0,I407,0)</f>
        <v>0</v>
      </c>
      <c r="J342" s="331">
        <f>+IF($F$10=0,J407,IF($F$10=30,J407,0))</f>
        <v>0</v>
      </c>
      <c r="K342" s="331">
        <f>+IF($F$10=0,K407,IF($F$10=30,0,K407))</f>
        <v>0</v>
      </c>
      <c r="L342" s="331">
        <f>+IF($F$10=0,L407,IF($F$10=30,L407,0))</f>
        <v>0</v>
      </c>
      <c r="M342" s="331">
        <f>+IF($F$10=0,M407,0)</f>
        <v>0</v>
      </c>
      <c r="N342" s="331">
        <f>+N407</f>
        <v>0</v>
      </c>
      <c r="O342" s="331">
        <f>+IF($F$10=0,O407,0)</f>
        <v>0</v>
      </c>
      <c r="P342" s="331">
        <f>+IF($F$10=0,P407,IF($F$10=30,P407,0))</f>
        <v>0</v>
      </c>
      <c r="Q342" s="331">
        <f>+IF($F$10=0,Q407,IF($F$10=30,0,Q407))</f>
        <v>0</v>
      </c>
      <c r="R342" s="331">
        <f>+IF($F$10=0,R407,IF($F$10=30,R407,0))</f>
        <v>0</v>
      </c>
      <c r="S342" s="331">
        <f>+IF($F$10=0,S407,0)</f>
        <v>0</v>
      </c>
      <c r="T342" s="331">
        <f>+T407</f>
        <v>0</v>
      </c>
      <c r="U342" s="331">
        <f>+IF($F$10=0,U407,0)</f>
        <v>0</v>
      </c>
      <c r="V342" s="331">
        <f>+IF($F$10=0,V407,IF($F$10=30,V407,0))</f>
        <v>0</v>
      </c>
      <c r="W342" s="331">
        <f>+IF($F$10=0,W407,IF($F$10=30,0,W407))</f>
        <v>0</v>
      </c>
      <c r="X342" s="331">
        <f>+IF($F$10=0,X407,IF($F$10=30,X407,0))</f>
        <v>0</v>
      </c>
      <c r="Y342" s="331">
        <f>+IF($F$10=0,Y407,0)</f>
        <v>0</v>
      </c>
      <c r="Z342" s="331">
        <f>+Z407</f>
        <v>0</v>
      </c>
      <c r="AA342" s="331">
        <f>+IF($F$10=0,AA407,0)</f>
        <v>0</v>
      </c>
      <c r="AB342" s="331">
        <f>+IF($F$10=0,AB407,IF($F$10=30,AB407,0))</f>
        <v>0</v>
      </c>
      <c r="AC342" s="331">
        <f>+IF($F$10=0,AC407,IF($F$10=30,0,AC407))</f>
        <v>0</v>
      </c>
      <c r="AD342" s="331">
        <f>+IF($F$10=0,AD407,IF($F$10=30,AD407,0))</f>
        <v>0</v>
      </c>
      <c r="AE342" s="331">
        <f>+IF($F$10=0,AE407,0)</f>
        <v>0</v>
      </c>
      <c r="AF342" s="331">
        <f>+AF407</f>
        <v>0</v>
      </c>
      <c r="AG342" s="331">
        <f>+IF($F$10=0,AG407,0)</f>
        <v>0</v>
      </c>
      <c r="AH342" s="331">
        <f>+IF($F$10=0,AH407,IF($F$10=30,AH407,0))</f>
        <v>0</v>
      </c>
      <c r="AI342" s="331">
        <f>+IF($F$10=0,AI407,IF($F$10=30,0,AI407))</f>
        <v>0</v>
      </c>
      <c r="AJ342" s="331">
        <f>+IF($F$10=0,AJ407,IF($F$10=30,AJ407,0))</f>
        <v>0</v>
      </c>
      <c r="AK342" s="331">
        <f>+IF($F$10=0,AK407,0)</f>
        <v>0</v>
      </c>
      <c r="AL342" s="331">
        <f>+AL407</f>
        <v>0</v>
      </c>
      <c r="AM342" s="331">
        <f>+IF($F$10=0,AM407,0)</f>
        <v>0</v>
      </c>
      <c r="AN342" s="331">
        <f>+IF($F$10=0,AN407,IF($F$10=30,AN407,0))</f>
        <v>0</v>
      </c>
      <c r="AO342" s="331">
        <f>+IF($F$10=0,AO407,IF($F$10=30,0,AO407))</f>
        <v>0</v>
      </c>
      <c r="AP342" s="331">
        <f>+IF($F$10=0,AP407,IF($F$10=30,AP407,0))</f>
        <v>0</v>
      </c>
      <c r="AQ342" s="331">
        <f>+IF($F$10=0,AQ407,0)</f>
        <v>0</v>
      </c>
      <c r="AR342" s="331">
        <f>+AR407</f>
        <v>0</v>
      </c>
      <c r="AS342" s="331">
        <f>+IF($F$10=0,AS407,0)</f>
        <v>0</v>
      </c>
      <c r="AT342" s="331">
        <f>+IF($F$10=0,AT407,IF($F$10=30,AT407,0))</f>
        <v>0</v>
      </c>
      <c r="AU342" s="331">
        <f>+IF($F$10=0,AU407,IF($F$10=30,0,AU407))</f>
        <v>0</v>
      </c>
      <c r="AV342" s="331">
        <f>+IF($F$10=0,AV407,IF($F$10=30,AV407,0))</f>
        <v>0</v>
      </c>
      <c r="AW342" s="331">
        <f>+IF($F$10=0,AW407,0)</f>
        <v>0</v>
      </c>
      <c r="AX342" s="331">
        <f>+AX407</f>
        <v>0</v>
      </c>
      <c r="AY342" s="331">
        <f>+IF($F$10=0,AY407,0)</f>
        <v>0</v>
      </c>
      <c r="AZ342" s="331">
        <f>+IF($F$10=0,AZ407,IF($F$10=30,AZ407,0))</f>
        <v>0</v>
      </c>
      <c r="BA342" s="331">
        <f>+IF($F$10=0,BA407,IF($F$10=30,0,BA407))</f>
        <v>0</v>
      </c>
      <c r="BB342" s="331">
        <f>+IF($F$10=0,BB407,IF($F$10=30,BB407,0))</f>
        <v>0</v>
      </c>
      <c r="BC342" s="331">
        <f>+IF($F$10=0,BC407,0)</f>
        <v>0</v>
      </c>
      <c r="BD342" s="331">
        <f>+BD407</f>
        <v>0</v>
      </c>
      <c r="BE342" s="331">
        <f>+IF($F$10=0,BE407,0)</f>
        <v>0</v>
      </c>
      <c r="BF342" s="331">
        <f>+IF($F$10=0,BF407,IF($F$10=30,BF407,0))</f>
        <v>0</v>
      </c>
      <c r="BG342" s="331">
        <f>+IF($F$10=0,BG407,IF($F$10=30,0,BG407))</f>
        <v>0</v>
      </c>
      <c r="BH342" s="331">
        <f>+IF($F$10=0,BH407,IF($F$10=30,BH407,0))</f>
        <v>0</v>
      </c>
      <c r="BI342" s="331">
        <f>+IF($F$10=0,BI407,0)</f>
        <v>0</v>
      </c>
      <c r="BJ342" s="331">
        <f>+BJ407</f>
        <v>0</v>
      </c>
      <c r="BK342" s="331">
        <f>+IF($F$10=0,BK407,0)</f>
        <v>0</v>
      </c>
      <c r="BL342" s="331">
        <f>+IF($F$10=0,BL407,IF($F$10=30,BL407,0))</f>
        <v>0</v>
      </c>
      <c r="BM342" s="331">
        <f>+IF($F$10=0,BM407,IF($F$10=30,0,BM407))</f>
        <v>0</v>
      </c>
      <c r="BN342" s="331"/>
      <c r="BO342" s="331"/>
    </row>
    <row r="343" spans="5:68" ht="15.75">
      <c r="E343" s="416">
        <f t="shared" si="207"/>
        <v>43559</v>
      </c>
      <c r="F343" s="331"/>
      <c r="G343" s="331"/>
      <c r="H343" s="331"/>
      <c r="I343" s="331">
        <f>+I408</f>
        <v>0</v>
      </c>
      <c r="J343" s="331">
        <f>+IF($F$10=0,J408,0)</f>
        <v>0</v>
      </c>
      <c r="K343" s="331">
        <f>+IF($F$10=0,K408,IF($F$10=30,K408,0))</f>
        <v>0</v>
      </c>
      <c r="L343" s="331">
        <f>+IF($F$10=0,L408,IF($F$10=30,0,L408))</f>
        <v>0</v>
      </c>
      <c r="M343" s="331">
        <f>+IF($F$10=0,M408,IF($F$10=30,M408,0))</f>
        <v>0</v>
      </c>
      <c r="N343" s="331">
        <f>+IF($F$10=0,N408,0)</f>
        <v>0</v>
      </c>
      <c r="O343" s="331">
        <f>+O408</f>
        <v>0</v>
      </c>
      <c r="P343" s="331">
        <f>+IF($F$10=0,P408,0)</f>
        <v>0</v>
      </c>
      <c r="Q343" s="331">
        <f>+IF($F$10=0,Q408,IF($F$10=30,Q408,0))</f>
        <v>0</v>
      </c>
      <c r="R343" s="331">
        <f>+IF($F$10=0,R408,IF($F$10=30,0,R408))</f>
        <v>0</v>
      </c>
      <c r="S343" s="331">
        <f>+IF($F$10=0,S408,IF($F$10=30,S408,0))</f>
        <v>0</v>
      </c>
      <c r="T343" s="331">
        <f>+IF($F$10=0,T408,0)</f>
        <v>0</v>
      </c>
      <c r="U343" s="331">
        <f>+U408</f>
        <v>0</v>
      </c>
      <c r="V343" s="331">
        <f>+IF($F$10=0,V408,0)</f>
        <v>0</v>
      </c>
      <c r="W343" s="331">
        <f>+IF($F$10=0,W408,IF($F$10=30,W408,0))</f>
        <v>0</v>
      </c>
      <c r="X343" s="331">
        <f>+IF($F$10=0,X408,IF($F$10=30,0,X408))</f>
        <v>0</v>
      </c>
      <c r="Y343" s="331">
        <f>+IF($F$10=0,Y408,IF($F$10=30,Y408,0))</f>
        <v>0</v>
      </c>
      <c r="Z343" s="331">
        <f>+IF($F$10=0,Z408,0)</f>
        <v>0</v>
      </c>
      <c r="AA343" s="331">
        <f>+AA408</f>
        <v>0</v>
      </c>
      <c r="AB343" s="331">
        <f>+IF($F$10=0,AB408,0)</f>
        <v>0</v>
      </c>
      <c r="AC343" s="331">
        <f>+IF($F$10=0,AC408,IF($F$10=30,AC408,0))</f>
        <v>0</v>
      </c>
      <c r="AD343" s="331">
        <f>+IF($F$10=0,AD408,IF($F$10=30,0,AD408))</f>
        <v>0</v>
      </c>
      <c r="AE343" s="331">
        <f>+IF($F$10=0,AE408,IF($F$10=30,AE408,0))</f>
        <v>0</v>
      </c>
      <c r="AF343" s="331">
        <f>+IF($F$10=0,AF408,0)</f>
        <v>0</v>
      </c>
      <c r="AG343" s="331">
        <f>+AG408</f>
        <v>0</v>
      </c>
      <c r="AH343" s="331">
        <f>+IF($F$10=0,AH408,0)</f>
        <v>0</v>
      </c>
      <c r="AI343" s="331">
        <f>+IF($F$10=0,AI408,IF($F$10=30,AI408,0))</f>
        <v>0</v>
      </c>
      <c r="AJ343" s="331">
        <f>+IF($F$10=0,AJ408,IF($F$10=30,0,AJ408))</f>
        <v>0</v>
      </c>
      <c r="AK343" s="331">
        <f>+IF($F$10=0,AK408,IF($F$10=30,AK408,0))</f>
        <v>0</v>
      </c>
      <c r="AL343" s="331">
        <f>+IF($F$10=0,AL408,0)</f>
        <v>0</v>
      </c>
      <c r="AM343" s="331">
        <f>+AM408</f>
        <v>0</v>
      </c>
      <c r="AN343" s="331">
        <f>+IF($F$10=0,AN408,0)</f>
        <v>0</v>
      </c>
      <c r="AO343" s="331">
        <f>+IF($F$10=0,AO408,IF($F$10=30,AO408,0))</f>
        <v>0</v>
      </c>
      <c r="AP343" s="331">
        <f>+IF($F$10=0,AP408,IF($F$10=30,0,AP408))</f>
        <v>0</v>
      </c>
      <c r="AQ343" s="331">
        <f>+IF($F$10=0,AQ408,IF($F$10=30,AQ408,0))</f>
        <v>0</v>
      </c>
      <c r="AR343" s="331">
        <f>+IF($F$10=0,AR408,0)</f>
        <v>0</v>
      </c>
      <c r="AS343" s="331">
        <f>+AS408</f>
        <v>0</v>
      </c>
      <c r="AT343" s="331">
        <f>+IF($F$10=0,AT408,0)</f>
        <v>0</v>
      </c>
      <c r="AU343" s="331">
        <f>+IF($F$10=0,AU408,IF($F$10=30,AU408,0))</f>
        <v>0</v>
      </c>
      <c r="AV343" s="331">
        <f>+IF($F$10=0,AV408,IF($F$10=30,0,AV408))</f>
        <v>0</v>
      </c>
      <c r="AW343" s="331">
        <f>+IF($F$10=0,AW408,IF($F$10=30,AW408,0))</f>
        <v>0</v>
      </c>
      <c r="AX343" s="331">
        <f>+IF($F$10=0,AX408,0)</f>
        <v>0</v>
      </c>
      <c r="AY343" s="331">
        <f>+AY408</f>
        <v>0</v>
      </c>
      <c r="AZ343" s="331">
        <f>+IF($F$10=0,AZ408,0)</f>
        <v>0</v>
      </c>
      <c r="BA343" s="331">
        <f>+IF($F$10=0,BA408,IF($F$10=30,BA408,0))</f>
        <v>0</v>
      </c>
      <c r="BB343" s="331">
        <f>+IF($F$10=0,BB408,IF($F$10=30,0,BB408))</f>
        <v>0</v>
      </c>
      <c r="BC343" s="331">
        <f>+IF($F$10=0,BC408,IF($F$10=30,BC408,0))</f>
        <v>0</v>
      </c>
      <c r="BD343" s="331">
        <f>+IF($F$10=0,BD408,0)</f>
        <v>0</v>
      </c>
      <c r="BE343" s="331">
        <f>+BE408</f>
        <v>0</v>
      </c>
      <c r="BF343" s="331">
        <f>+IF($F$10=0,BF408,0)</f>
        <v>0</v>
      </c>
      <c r="BG343" s="331">
        <f>+IF($F$10=0,BG408,IF($F$10=30,BG408,0))</f>
        <v>0</v>
      </c>
      <c r="BH343" s="331">
        <f>+IF($F$10=0,BH408,IF($F$10=30,0,BH408))</f>
        <v>0</v>
      </c>
      <c r="BI343" s="331">
        <f>+IF($F$10=0,BI408,IF($F$10=30,BI408,0))</f>
        <v>0</v>
      </c>
      <c r="BJ343" s="331">
        <f>+IF($F$10=0,BJ408,0)</f>
        <v>0</v>
      </c>
      <c r="BK343" s="331">
        <f>+BK408</f>
        <v>0</v>
      </c>
      <c r="BL343" s="331">
        <f>+IF($F$10=0,BL408,0)</f>
        <v>0</v>
      </c>
      <c r="BM343" s="331">
        <f>+IF($F$10=0,BM408,IF($F$10=30,BM408,0))</f>
        <v>0</v>
      </c>
      <c r="BN343" s="331"/>
      <c r="BO343" s="331"/>
      <c r="BP343" s="331"/>
    </row>
    <row r="344" spans="3:69" ht="15.75">
      <c r="C344" s="5"/>
      <c r="E344" s="416">
        <f t="shared" si="207"/>
        <v>43590</v>
      </c>
      <c r="F344" s="331"/>
      <c r="G344" s="331"/>
      <c r="H344" s="331"/>
      <c r="I344" s="331"/>
      <c r="J344" s="331">
        <f>+J409</f>
        <v>0</v>
      </c>
      <c r="K344" s="331">
        <f>+IF($F$10=0,K409,0)</f>
        <v>0</v>
      </c>
      <c r="L344" s="331">
        <f>+IF($F$10=0,L409,IF($F$10=30,L409,0))</f>
        <v>0</v>
      </c>
      <c r="M344" s="331">
        <f>+IF($F$10=0,M409,IF($F$10=30,0,M409))</f>
        <v>0</v>
      </c>
      <c r="N344" s="331">
        <f>+IF($F$10=0,N409,IF($F$10=30,N409,0))</f>
        <v>0</v>
      </c>
      <c r="O344" s="331">
        <f>+IF($F$10=0,O409,0)</f>
        <v>0</v>
      </c>
      <c r="P344" s="331">
        <f>+P409</f>
        <v>0</v>
      </c>
      <c r="Q344" s="331">
        <f>+IF($F$10=0,Q409,0)</f>
        <v>0</v>
      </c>
      <c r="R344" s="331">
        <f>+IF($F$10=0,R409,IF($F$10=30,R409,0))</f>
        <v>0</v>
      </c>
      <c r="S344" s="331">
        <f>+IF($F$10=0,S409,IF($F$10=30,0,S409))</f>
        <v>0</v>
      </c>
      <c r="T344" s="331">
        <f>+IF($F$10=0,T409,IF($F$10=30,T409,0))</f>
        <v>0</v>
      </c>
      <c r="U344" s="331">
        <f>+IF($F$10=0,U409,0)</f>
        <v>0</v>
      </c>
      <c r="V344" s="331">
        <f>+V409</f>
        <v>0</v>
      </c>
      <c r="W344" s="331">
        <f>+IF($F$10=0,W409,0)</f>
        <v>0</v>
      </c>
      <c r="X344" s="331">
        <f>+IF($F$10=0,X409,IF($F$10=30,X409,0))</f>
        <v>0</v>
      </c>
      <c r="Y344" s="331">
        <f>+IF($F$10=0,Y409,IF($F$10=30,0,Y409))</f>
        <v>0</v>
      </c>
      <c r="Z344" s="331">
        <f>+IF($F$10=0,Z409,IF($F$10=30,Z409,0))</f>
        <v>0</v>
      </c>
      <c r="AA344" s="331">
        <f>+IF($F$10=0,AA409,0)</f>
        <v>0</v>
      </c>
      <c r="AB344" s="331">
        <f>+AB409</f>
        <v>0</v>
      </c>
      <c r="AC344" s="331">
        <f>+IF($F$10=0,AC409,0)</f>
        <v>0</v>
      </c>
      <c r="AD344" s="331">
        <f>+IF($F$10=0,AD409,IF($F$10=30,AD409,0))</f>
        <v>0</v>
      </c>
      <c r="AE344" s="331">
        <f>+IF($F$10=0,AE409,IF($F$10=30,0,AE409))</f>
        <v>0</v>
      </c>
      <c r="AF344" s="331">
        <f>+IF($F$10=0,AF409,IF($F$10=30,AF409,0))</f>
        <v>0</v>
      </c>
      <c r="AG344" s="331">
        <f>+IF($F$10=0,AG409,0)</f>
        <v>0</v>
      </c>
      <c r="AH344" s="331">
        <f>+AH409</f>
        <v>0</v>
      </c>
      <c r="AI344" s="331">
        <f>+IF($F$10=0,AI409,0)</f>
        <v>0</v>
      </c>
      <c r="AJ344" s="331">
        <f>+IF($F$10=0,AJ409,IF($F$10=30,AJ409,0))</f>
        <v>0</v>
      </c>
      <c r="AK344" s="331">
        <f>+IF($F$10=0,AK409,IF($F$10=30,0,AK409))</f>
        <v>0</v>
      </c>
      <c r="AL344" s="331">
        <f>+IF($F$10=0,AL409,IF($F$10=30,AL409,0))</f>
        <v>0</v>
      </c>
      <c r="AM344" s="331">
        <f>+IF($F$10=0,AM409,0)</f>
        <v>0</v>
      </c>
      <c r="AN344" s="331">
        <f>+AN409</f>
        <v>0</v>
      </c>
      <c r="AO344" s="331">
        <f>+IF($F$10=0,AO409,0)</f>
        <v>0</v>
      </c>
      <c r="AP344" s="331">
        <f>+IF($F$10=0,AP409,IF($F$10=30,AP409,0))</f>
        <v>0</v>
      </c>
      <c r="AQ344" s="331">
        <f>+IF($F$10=0,AQ409,IF($F$10=30,0,AQ409))</f>
        <v>0</v>
      </c>
      <c r="AR344" s="331">
        <f>+IF($F$10=0,AR409,IF($F$10=30,AR409,0))</f>
        <v>0</v>
      </c>
      <c r="AS344" s="331">
        <f>+IF($F$10=0,AS409,0)</f>
        <v>0</v>
      </c>
      <c r="AT344" s="331">
        <f>+AT409</f>
        <v>0</v>
      </c>
      <c r="AU344" s="331">
        <f>+IF($F$10=0,AU409,0)</f>
        <v>0</v>
      </c>
      <c r="AV344" s="331">
        <f>+IF($F$10=0,AV409,IF($F$10=30,AV409,0))</f>
        <v>0</v>
      </c>
      <c r="AW344" s="331">
        <f>+IF($F$10=0,AW409,IF($F$10=30,0,AW409))</f>
        <v>0</v>
      </c>
      <c r="AX344" s="331">
        <f>+IF($F$10=0,AX409,IF($F$10=30,AX409,0))</f>
        <v>0</v>
      </c>
      <c r="AY344" s="331">
        <f>+IF($F$10=0,AY409,0)</f>
        <v>0</v>
      </c>
      <c r="AZ344" s="331">
        <f>+AZ409</f>
        <v>0</v>
      </c>
      <c r="BA344" s="331">
        <f>+IF($F$10=0,BA409,0)</f>
        <v>0</v>
      </c>
      <c r="BB344" s="331">
        <f>+IF($F$10=0,BB409,IF($F$10=30,BB409,0))</f>
        <v>0</v>
      </c>
      <c r="BC344" s="331">
        <f>+IF($F$10=0,BC409,IF($F$10=30,0,BC409))</f>
        <v>0</v>
      </c>
      <c r="BD344" s="331">
        <f>+IF($F$10=0,BD409,IF($F$10=30,BD409,0))</f>
        <v>0</v>
      </c>
      <c r="BE344" s="331">
        <f>+IF($F$10=0,BE409,0)</f>
        <v>0</v>
      </c>
      <c r="BF344" s="331">
        <f>+BF409</f>
        <v>0</v>
      </c>
      <c r="BG344" s="331">
        <f>+IF($F$10=0,BG409,0)</f>
        <v>0</v>
      </c>
      <c r="BH344" s="331">
        <f>+IF($F$10=0,BH409,IF($F$10=30,BH409,0))</f>
        <v>0</v>
      </c>
      <c r="BI344" s="331">
        <f>+IF($F$10=0,BI409,IF($F$10=30,0,BI409))</f>
        <v>0</v>
      </c>
      <c r="BJ344" s="331">
        <f>+IF($F$10=0,BJ409,IF($F$10=30,BJ409,0))</f>
        <v>0</v>
      </c>
      <c r="BK344" s="331">
        <f>+IF($F$10=0,BK409,0)</f>
        <v>0</v>
      </c>
      <c r="BL344" s="331">
        <f>+BL409</f>
        <v>0</v>
      </c>
      <c r="BM344" s="331">
        <f>+IF($F$10=0,BM409,0)</f>
        <v>0</v>
      </c>
      <c r="BN344" s="331"/>
      <c r="BO344" s="331"/>
      <c r="BP344" s="331"/>
      <c r="BQ344" s="331"/>
    </row>
    <row r="345" spans="5:70" ht="15.75">
      <c r="E345" s="416">
        <f t="shared" si="207"/>
        <v>43621</v>
      </c>
      <c r="F345" s="331"/>
      <c r="G345" s="331"/>
      <c r="H345" s="331"/>
      <c r="I345" s="331"/>
      <c r="J345" s="331"/>
      <c r="K345" s="331">
        <f>+K410</f>
        <v>0</v>
      </c>
      <c r="L345" s="331">
        <f>+IF($F$10=0,L410,0)</f>
        <v>0</v>
      </c>
      <c r="M345" s="331">
        <f>+IF($F$10=0,M410,IF($F$10=30,M410,0))</f>
        <v>0</v>
      </c>
      <c r="N345" s="331">
        <f>+IF($F$10=0,N410,IF($F$10=30,0,N410))</f>
        <v>0</v>
      </c>
      <c r="O345" s="331">
        <f>+IF($F$10=0,O410,IF($F$10=30,O410,0))</f>
        <v>0</v>
      </c>
      <c r="P345" s="331">
        <f>+IF($F$10=0,P410,0)</f>
        <v>0</v>
      </c>
      <c r="Q345" s="331">
        <f>+Q410</f>
        <v>0</v>
      </c>
      <c r="R345" s="331">
        <f>+IF($F$10=0,R410,0)</f>
        <v>0</v>
      </c>
      <c r="S345" s="331">
        <f>+IF($F$10=0,S410,IF($F$10=30,S410,0))</f>
        <v>0</v>
      </c>
      <c r="T345" s="331">
        <f>+IF($F$10=0,T410,IF($F$10=30,0,T410))</f>
        <v>0</v>
      </c>
      <c r="U345" s="331">
        <f>+IF($F$10=0,U410,IF($F$10=30,U410,0))</f>
        <v>0</v>
      </c>
      <c r="V345" s="331">
        <f>+IF($F$10=0,V410,0)</f>
        <v>0</v>
      </c>
      <c r="W345" s="331">
        <f>+W410</f>
        <v>0</v>
      </c>
      <c r="X345" s="331">
        <f>+IF($F$10=0,X410,0)</f>
        <v>0</v>
      </c>
      <c r="Y345" s="331">
        <f>+IF($F$10=0,Y410,IF($F$10=30,Y410,0))</f>
        <v>0</v>
      </c>
      <c r="Z345" s="331">
        <f>+IF($F$10=0,Z410,IF($F$10=30,0,Z410))</f>
        <v>0</v>
      </c>
      <c r="AA345" s="331">
        <f>+IF($F$10=0,AA410,IF($F$10=30,AA410,0))</f>
        <v>0</v>
      </c>
      <c r="AB345" s="331">
        <f>+IF($F$10=0,AB410,0)</f>
        <v>0</v>
      </c>
      <c r="AC345" s="331">
        <f>+AC410</f>
        <v>0</v>
      </c>
      <c r="AD345" s="331">
        <f>+IF($F$10=0,AD410,0)</f>
        <v>0</v>
      </c>
      <c r="AE345" s="331">
        <f>+IF($F$10=0,AE410,IF($F$10=30,AE410,0))</f>
        <v>0</v>
      </c>
      <c r="AF345" s="331">
        <f>+IF($F$10=0,AF410,IF($F$10=30,0,AF410))</f>
        <v>0</v>
      </c>
      <c r="AG345" s="331">
        <f>+IF($F$10=0,AG410,IF($F$10=30,AG410,0))</f>
        <v>0</v>
      </c>
      <c r="AH345" s="331">
        <f>+IF($F$10=0,AH410,0)</f>
        <v>0</v>
      </c>
      <c r="AI345" s="331">
        <f>+AI410</f>
        <v>0</v>
      </c>
      <c r="AJ345" s="331">
        <f>+IF($F$10=0,AJ410,0)</f>
        <v>0</v>
      </c>
      <c r="AK345" s="331">
        <f>+IF($F$10=0,AK410,IF($F$10=30,AK410,0))</f>
        <v>0</v>
      </c>
      <c r="AL345" s="331">
        <f>+IF($F$10=0,AL410,IF($F$10=30,0,AL410))</f>
        <v>0</v>
      </c>
      <c r="AM345" s="331">
        <f>+IF($F$10=0,AM410,IF($F$10=30,AM410,0))</f>
        <v>0</v>
      </c>
      <c r="AN345" s="331">
        <f>+IF($F$10=0,AN410,0)</f>
        <v>0</v>
      </c>
      <c r="AO345" s="331">
        <f>+AO410</f>
        <v>0</v>
      </c>
      <c r="AP345" s="331">
        <f>+IF($F$10=0,AP410,0)</f>
        <v>0</v>
      </c>
      <c r="AQ345" s="331">
        <f>+IF($F$10=0,AQ410,IF($F$10=30,AQ410,0))</f>
        <v>0</v>
      </c>
      <c r="AR345" s="331">
        <f>+IF($F$10=0,AR410,IF($F$10=30,0,AR410))</f>
        <v>0</v>
      </c>
      <c r="AS345" s="331">
        <f>+IF($F$10=0,AS410,IF($F$10=30,AS410,0))</f>
        <v>0</v>
      </c>
      <c r="AT345" s="331">
        <f>+IF($F$10=0,AT410,0)</f>
        <v>0</v>
      </c>
      <c r="AU345" s="331">
        <f>+AU410</f>
        <v>0</v>
      </c>
      <c r="AV345" s="331">
        <f>+IF($F$10=0,AV410,0)</f>
        <v>0</v>
      </c>
      <c r="AW345" s="331">
        <f>+IF($F$10=0,AW410,IF($F$10=30,AW410,0))</f>
        <v>0</v>
      </c>
      <c r="AX345" s="331">
        <f>+IF($F$10=0,AX410,IF($F$10=30,0,AX410))</f>
        <v>0</v>
      </c>
      <c r="AY345" s="331">
        <f>+IF($F$10=0,AY410,IF($F$10=30,AY410,0))</f>
        <v>0</v>
      </c>
      <c r="AZ345" s="331">
        <f>+IF($F$10=0,AZ410,0)</f>
        <v>0</v>
      </c>
      <c r="BA345" s="331">
        <f>+BA410</f>
        <v>0</v>
      </c>
      <c r="BB345" s="331">
        <f>+IF($F$10=0,BB410,0)</f>
        <v>0</v>
      </c>
      <c r="BC345" s="331">
        <f>+IF($F$10=0,BC410,IF($F$10=30,BC410,0))</f>
        <v>0</v>
      </c>
      <c r="BD345" s="331">
        <f>+IF($F$10=0,BD410,IF($F$10=30,0,BD410))</f>
        <v>0</v>
      </c>
      <c r="BE345" s="331">
        <f>+IF($F$10=0,BE410,IF($F$10=30,BE410,0))</f>
        <v>0</v>
      </c>
      <c r="BF345" s="331">
        <f>+IF($F$10=0,BF410,0)</f>
        <v>0</v>
      </c>
      <c r="BG345" s="331">
        <f>+BG410</f>
        <v>0</v>
      </c>
      <c r="BH345" s="331">
        <f>+IF($F$10=0,BH410,0)</f>
        <v>0</v>
      </c>
      <c r="BI345" s="331">
        <f>+IF($F$10=0,BI410,IF($F$10=30,BI410,0))</f>
        <v>0</v>
      </c>
      <c r="BJ345" s="331">
        <f>+IF($F$10=0,BJ410,IF($F$10=30,0,BJ410))</f>
        <v>0</v>
      </c>
      <c r="BK345" s="331">
        <f>+IF($F$10=0,BK410,IF($F$10=30,BK410,0))</f>
        <v>0</v>
      </c>
      <c r="BL345" s="331">
        <f>+IF($F$10=0,BL410,0)</f>
        <v>0</v>
      </c>
      <c r="BM345" s="331">
        <f>+BM410</f>
        <v>0</v>
      </c>
      <c r="BN345" s="331"/>
      <c r="BO345" s="331"/>
      <c r="BP345" s="331"/>
      <c r="BQ345" s="331"/>
      <c r="BR345" s="331"/>
    </row>
    <row r="346" spans="5:71" ht="15.75">
      <c r="E346" s="416">
        <f t="shared" si="207"/>
        <v>43652</v>
      </c>
      <c r="F346" s="331"/>
      <c r="G346" s="331"/>
      <c r="H346" s="331"/>
      <c r="I346" s="331"/>
      <c r="J346" s="331"/>
      <c r="K346" s="331"/>
      <c r="L346" s="331">
        <f>+L411</f>
        <v>0</v>
      </c>
      <c r="M346" s="331">
        <f>+IF($F$10=0,M411,0)</f>
        <v>0</v>
      </c>
      <c r="N346" s="331">
        <f>+IF($F$10=0,N411,IF($F$10=30,N411,0))</f>
        <v>0</v>
      </c>
      <c r="O346" s="331">
        <f>+IF($F$10=0,O411,IF($F$10=30,0,O411))</f>
        <v>0</v>
      </c>
      <c r="P346" s="331">
        <f>+IF($F$10=0,P411,IF($F$10=30,P411,0))</f>
        <v>0</v>
      </c>
      <c r="Q346" s="331">
        <f>+IF($F$10=0,Q411,0)</f>
        <v>0</v>
      </c>
      <c r="R346" s="331">
        <f>+R411</f>
        <v>0</v>
      </c>
      <c r="S346" s="331">
        <f>+IF($F$10=0,S411,0)</f>
        <v>0</v>
      </c>
      <c r="T346" s="331">
        <f>+IF($F$10=0,T411,IF($F$10=30,T411,0))</f>
        <v>0</v>
      </c>
      <c r="U346" s="331">
        <f>+IF($F$10=0,U411,IF($F$10=30,0,U411))</f>
        <v>0</v>
      </c>
      <c r="V346" s="331">
        <f>+IF($F$10=0,V411,IF($F$10=30,V411,0))</f>
        <v>0</v>
      </c>
      <c r="W346" s="331">
        <f>+IF($F$10=0,W411,0)</f>
        <v>0</v>
      </c>
      <c r="X346" s="331">
        <f>+X411</f>
        <v>0</v>
      </c>
      <c r="Y346" s="331">
        <f>+IF($F$10=0,Y411,0)</f>
        <v>0</v>
      </c>
      <c r="Z346" s="331">
        <f>+IF($F$10=0,Z411,IF($F$10=30,Z411,0))</f>
        <v>0</v>
      </c>
      <c r="AA346" s="331">
        <f>+IF($F$10=0,AA411,IF($F$10=30,0,AA411))</f>
        <v>0</v>
      </c>
      <c r="AB346" s="331">
        <f>+IF($F$10=0,AB411,IF($F$10=30,AB411,0))</f>
        <v>0</v>
      </c>
      <c r="AC346" s="331">
        <f>+IF($F$10=0,AC411,0)</f>
        <v>0</v>
      </c>
      <c r="AD346" s="331">
        <f>+AD411</f>
        <v>0</v>
      </c>
      <c r="AE346" s="331">
        <f>+IF($F$10=0,AE411,0)</f>
        <v>0</v>
      </c>
      <c r="AF346" s="331">
        <f>+IF($F$10=0,AF411,IF($F$10=30,AF411,0))</f>
        <v>0</v>
      </c>
      <c r="AG346" s="331">
        <f>+IF($F$10=0,AG411,IF($F$10=30,0,AG411))</f>
        <v>0</v>
      </c>
      <c r="AH346" s="331">
        <f>+IF($F$10=0,AH411,IF($F$10=30,AH411,0))</f>
        <v>0</v>
      </c>
      <c r="AI346" s="331">
        <f>+IF($F$10=0,AI411,0)</f>
        <v>0</v>
      </c>
      <c r="AJ346" s="331">
        <f>+AJ411</f>
        <v>0</v>
      </c>
      <c r="AK346" s="331">
        <f>+IF($F$10=0,AK411,0)</f>
        <v>0</v>
      </c>
      <c r="AL346" s="331">
        <f>+IF($F$10=0,AL411,IF($F$10=30,AL411,0))</f>
        <v>0</v>
      </c>
      <c r="AM346" s="331">
        <f>+IF($F$10=0,AM411,IF($F$10=30,0,AM411))</f>
        <v>0</v>
      </c>
      <c r="AN346" s="331">
        <f>+IF($F$10=0,AN411,IF($F$10=30,AN411,0))</f>
        <v>0</v>
      </c>
      <c r="AO346" s="331">
        <f>+IF($F$10=0,AO411,0)</f>
        <v>0</v>
      </c>
      <c r="AP346" s="331">
        <f>+AP411</f>
        <v>0</v>
      </c>
      <c r="AQ346" s="331">
        <f>+IF($F$10=0,AQ411,0)</f>
        <v>0</v>
      </c>
      <c r="AR346" s="331">
        <f>+IF($F$10=0,AR411,IF($F$10=30,AR411,0))</f>
        <v>0</v>
      </c>
      <c r="AS346" s="331">
        <f>+IF($F$10=0,AS411,IF($F$10=30,0,AS411))</f>
        <v>0</v>
      </c>
      <c r="AT346" s="331">
        <f>+IF($F$10=0,AT411,IF($F$10=30,AT411,0))</f>
        <v>0</v>
      </c>
      <c r="AU346" s="331">
        <f>+IF($F$10=0,AU411,0)</f>
        <v>0</v>
      </c>
      <c r="AV346" s="331">
        <f>+AV411</f>
        <v>0</v>
      </c>
      <c r="AW346" s="331">
        <f>+IF($F$10=0,AW411,0)</f>
        <v>0</v>
      </c>
      <c r="AX346" s="331">
        <f>+IF($F$10=0,AX411,IF($F$10=30,AX411,0))</f>
        <v>0</v>
      </c>
      <c r="AY346" s="331">
        <f>+IF($F$10=0,AY411,IF($F$10=30,0,AY411))</f>
        <v>0</v>
      </c>
      <c r="AZ346" s="331">
        <f>+IF($F$10=0,AZ411,IF($F$10=30,AZ411,0))</f>
        <v>0</v>
      </c>
      <c r="BA346" s="331">
        <f>+IF($F$10=0,BA411,0)</f>
        <v>0</v>
      </c>
      <c r="BB346" s="331">
        <f>+BB411</f>
        <v>0</v>
      </c>
      <c r="BC346" s="331">
        <f>+IF($F$10=0,BC411,0)</f>
        <v>0</v>
      </c>
      <c r="BD346" s="331">
        <f>+IF($F$10=0,BD411,IF($F$10=30,BD411,0))</f>
        <v>0</v>
      </c>
      <c r="BE346" s="331">
        <f>+IF($F$10=0,BE411,IF($F$10=30,0,BE411))</f>
        <v>0</v>
      </c>
      <c r="BF346" s="331">
        <f>+IF($F$10=0,BF411,IF($F$10=30,BF411,0))</f>
        <v>0</v>
      </c>
      <c r="BG346" s="331">
        <f>+IF($F$10=0,BG411,0)</f>
        <v>0</v>
      </c>
      <c r="BH346" s="331">
        <f>+BH411</f>
        <v>0</v>
      </c>
      <c r="BI346" s="331">
        <f>+IF($F$10=0,BI411,0)</f>
        <v>0</v>
      </c>
      <c r="BJ346" s="331">
        <f>+IF($F$10=0,BJ411,IF($F$10=30,BJ411,0))</f>
        <v>0</v>
      </c>
      <c r="BK346" s="331">
        <f>+IF($F$10=0,BK411,IF($F$10=30,0,BK411))</f>
        <v>0</v>
      </c>
      <c r="BL346" s="331">
        <f>+IF($F$10=0,BL411,IF($F$10=30,BL411,0))</f>
        <v>0</v>
      </c>
      <c r="BM346" s="331">
        <f>+IF($F$10=0,BM411,0)</f>
        <v>0</v>
      </c>
      <c r="BN346" s="331"/>
      <c r="BO346" s="331"/>
      <c r="BP346" s="331"/>
      <c r="BQ346" s="331"/>
      <c r="BR346" s="331"/>
      <c r="BS346" s="331"/>
    </row>
    <row r="347" spans="5:72" ht="15.75">
      <c r="E347" s="416">
        <f t="shared" si="207"/>
        <v>43683</v>
      </c>
      <c r="F347" s="331"/>
      <c r="G347" s="331"/>
      <c r="H347" s="331"/>
      <c r="I347" s="331"/>
      <c r="J347" s="331"/>
      <c r="K347" s="331"/>
      <c r="L347" s="331"/>
      <c r="M347" s="331">
        <f>+M412</f>
        <v>0</v>
      </c>
      <c r="N347" s="331">
        <f>+IF($F$10=0,N412,0)</f>
        <v>0</v>
      </c>
      <c r="O347" s="331">
        <f>+IF($F$10=0,O412,IF($F$10=30,O412,0))</f>
        <v>0</v>
      </c>
      <c r="P347" s="331">
        <f>+IF($F$10=0,P412,IF($F$10=30,0,P412))</f>
        <v>0</v>
      </c>
      <c r="Q347" s="331">
        <f>+IF($F$10=0,Q412,IF($F$10=30,Q412,0))</f>
        <v>0</v>
      </c>
      <c r="R347" s="331">
        <f>+IF($F$10=0,R412,0)</f>
        <v>0</v>
      </c>
      <c r="S347" s="331">
        <f>+S412</f>
        <v>0</v>
      </c>
      <c r="T347" s="331">
        <f>+IF($F$10=0,T412,0)</f>
        <v>0</v>
      </c>
      <c r="U347" s="331">
        <f>+IF($F$10=0,U412,IF($F$10=30,U412,0))</f>
        <v>0</v>
      </c>
      <c r="V347" s="331">
        <f>+IF($F$10=0,V412,IF($F$10=30,0,V412))</f>
        <v>0</v>
      </c>
      <c r="W347" s="331">
        <f>+IF($F$10=0,W412,IF($F$10=30,W412,0))</f>
        <v>0</v>
      </c>
      <c r="X347" s="331">
        <f>+IF($F$10=0,X412,0)</f>
        <v>0</v>
      </c>
      <c r="Y347" s="331">
        <f>+Y412</f>
        <v>0</v>
      </c>
      <c r="Z347" s="331">
        <f>+IF($F$10=0,Z412,0)</f>
        <v>0</v>
      </c>
      <c r="AA347" s="331">
        <f>+IF($F$10=0,AA412,IF($F$10=30,AA412,0))</f>
        <v>0</v>
      </c>
      <c r="AB347" s="331">
        <f>+IF($F$10=0,AB412,IF($F$10=30,0,AB412))</f>
        <v>0</v>
      </c>
      <c r="AC347" s="331">
        <f>+IF($F$10=0,AC412,IF($F$10=30,AC412,0))</f>
        <v>0</v>
      </c>
      <c r="AD347" s="331">
        <f>+IF($F$10=0,AD412,0)</f>
        <v>0</v>
      </c>
      <c r="AE347" s="331">
        <f>+AE412</f>
        <v>0</v>
      </c>
      <c r="AF347" s="331">
        <f>+IF($F$10=0,AF412,0)</f>
        <v>0</v>
      </c>
      <c r="AG347" s="331">
        <f>+IF($F$10=0,AG412,IF($F$10=30,AG412,0))</f>
        <v>0</v>
      </c>
      <c r="AH347" s="331">
        <f>+IF($F$10=0,AH412,IF($F$10=30,0,AH412))</f>
        <v>0</v>
      </c>
      <c r="AI347" s="331">
        <f>+IF($F$10=0,AI412,IF($F$10=30,AI412,0))</f>
        <v>0</v>
      </c>
      <c r="AJ347" s="331">
        <f>+IF($F$10=0,AJ412,0)</f>
        <v>0</v>
      </c>
      <c r="AK347" s="331">
        <f>+AK412</f>
        <v>0</v>
      </c>
      <c r="AL347" s="331">
        <f>+IF($F$10=0,AL412,0)</f>
        <v>0</v>
      </c>
      <c r="AM347" s="331">
        <f>+IF($F$10=0,AM412,IF($F$10=30,AM412,0))</f>
        <v>0</v>
      </c>
      <c r="AN347" s="331">
        <f>+IF($F$10=0,AN412,IF($F$10=30,0,AN412))</f>
        <v>0</v>
      </c>
      <c r="AO347" s="331">
        <f>+IF($F$10=0,AO412,IF($F$10=30,AO412,0))</f>
        <v>0</v>
      </c>
      <c r="AP347" s="331">
        <f>+IF($F$10=0,AP412,0)</f>
        <v>0</v>
      </c>
      <c r="AQ347" s="331">
        <f>+AQ412</f>
        <v>0</v>
      </c>
      <c r="AR347" s="331">
        <f>+IF($F$10=0,AR412,0)</f>
        <v>0</v>
      </c>
      <c r="AS347" s="331">
        <f>+IF($F$10=0,AS412,IF($F$10=30,AS412,0))</f>
        <v>0</v>
      </c>
      <c r="AT347" s="331">
        <f>+IF($F$10=0,AT412,IF($F$10=30,0,AT412))</f>
        <v>0</v>
      </c>
      <c r="AU347" s="331">
        <f>+IF($F$10=0,AU412,IF($F$10=30,AU412,0))</f>
        <v>0</v>
      </c>
      <c r="AV347" s="331">
        <f>+IF($F$10=0,AV412,0)</f>
        <v>0</v>
      </c>
      <c r="AW347" s="331">
        <f>+AW412</f>
        <v>0</v>
      </c>
      <c r="AX347" s="331">
        <f>+IF($F$10=0,AX412,0)</f>
        <v>0</v>
      </c>
      <c r="AY347" s="331">
        <f>+IF($F$10=0,AY412,IF($F$10=30,AY412,0))</f>
        <v>0</v>
      </c>
      <c r="AZ347" s="331">
        <f>+IF($F$10=0,AZ412,IF($F$10=30,0,AZ412))</f>
        <v>0</v>
      </c>
      <c r="BA347" s="331">
        <f>+IF($F$10=0,BA412,IF($F$10=30,BA412,0))</f>
        <v>0</v>
      </c>
      <c r="BB347" s="331">
        <f>+IF($F$10=0,BB412,0)</f>
        <v>0</v>
      </c>
      <c r="BC347" s="331">
        <f>+BC412</f>
        <v>0</v>
      </c>
      <c r="BD347" s="331">
        <f>+IF($F$10=0,BD412,0)</f>
        <v>0</v>
      </c>
      <c r="BE347" s="331">
        <f>+IF($F$10=0,BE412,IF($F$10=30,BE412,0))</f>
        <v>0</v>
      </c>
      <c r="BF347" s="331">
        <f>+IF($F$10=0,BF412,IF($F$10=30,0,BF412))</f>
        <v>0</v>
      </c>
      <c r="BG347" s="331">
        <f>+IF($F$10=0,BG412,IF($F$10=30,BG412,0))</f>
        <v>0</v>
      </c>
      <c r="BH347" s="331">
        <f>+IF($F$10=0,BH412,0)</f>
        <v>0</v>
      </c>
      <c r="BI347" s="331">
        <f>+BI412</f>
        <v>0</v>
      </c>
      <c r="BJ347" s="331">
        <f>+IF($F$10=0,BJ412,0)</f>
        <v>0</v>
      </c>
      <c r="BK347" s="331">
        <f>+IF($F$10=0,BK412,IF($F$10=30,BK412,0))</f>
        <v>0</v>
      </c>
      <c r="BL347" s="331">
        <f>+IF($F$10=0,BL412,IF($F$10=30,0,BL412))</f>
        <v>0</v>
      </c>
      <c r="BM347" s="331">
        <f>+IF($F$10=0,BM412,IF($F$10=30,BM412,0))</f>
        <v>0</v>
      </c>
      <c r="BN347" s="331"/>
      <c r="BO347" s="331"/>
      <c r="BP347" s="331"/>
      <c r="BQ347" s="331"/>
      <c r="BR347" s="331"/>
      <c r="BS347" s="331"/>
      <c r="BT347" s="331"/>
    </row>
    <row r="348" spans="5:73" ht="15.75">
      <c r="E348" s="416">
        <f t="shared" si="207"/>
        <v>43714</v>
      </c>
      <c r="F348" s="331"/>
      <c r="G348" s="331"/>
      <c r="H348" s="331"/>
      <c r="I348" s="331"/>
      <c r="J348" s="331"/>
      <c r="K348" s="331"/>
      <c r="L348" s="331"/>
      <c r="M348" s="331"/>
      <c r="N348" s="331">
        <f>+N413</f>
        <v>0</v>
      </c>
      <c r="O348" s="331">
        <f>+IF($F$10=0,O413,0)</f>
        <v>0</v>
      </c>
      <c r="P348" s="331">
        <f>+IF($F$10=0,P413,IF($F$10=30,P413,0))</f>
        <v>0</v>
      </c>
      <c r="Q348" s="331">
        <f>+IF($F$10=0,Q413,IF($F$10=30,0,Q413))</f>
        <v>0</v>
      </c>
      <c r="R348" s="331">
        <f>+IF($F$10=0,R413,IF($F$10=30,R413,0))</f>
        <v>0</v>
      </c>
      <c r="S348" s="331">
        <f>+IF($F$10=0,S413,0)</f>
        <v>0</v>
      </c>
      <c r="T348" s="331">
        <f>+T413</f>
        <v>0</v>
      </c>
      <c r="U348" s="331">
        <f>+IF($F$10=0,U413,0)</f>
        <v>0</v>
      </c>
      <c r="V348" s="331">
        <f>+IF($F$10=0,V413,IF($F$10=30,V413,0))</f>
        <v>0</v>
      </c>
      <c r="W348" s="331">
        <f>+IF($F$10=0,W413,IF($F$10=30,0,W413))</f>
        <v>0</v>
      </c>
      <c r="X348" s="331">
        <f>+IF($F$10=0,X413,IF($F$10=30,X413,0))</f>
        <v>0</v>
      </c>
      <c r="Y348" s="331">
        <f>+IF($F$10=0,Y413,0)</f>
        <v>0</v>
      </c>
      <c r="Z348" s="331">
        <f>+Z413</f>
        <v>0</v>
      </c>
      <c r="AA348" s="331">
        <f>+IF($F$10=0,AA413,0)</f>
        <v>0</v>
      </c>
      <c r="AB348" s="331">
        <f>+IF($F$10=0,AB413,IF($F$10=30,AB413,0))</f>
        <v>0</v>
      </c>
      <c r="AC348" s="331">
        <f>+IF($F$10=0,AC413,IF($F$10=30,0,AC413))</f>
        <v>0</v>
      </c>
      <c r="AD348" s="331">
        <f>+IF($F$10=0,AD413,IF($F$10=30,AD413,0))</f>
        <v>0</v>
      </c>
      <c r="AE348" s="331">
        <f>+IF($F$10=0,AE413,0)</f>
        <v>0</v>
      </c>
      <c r="AF348" s="331">
        <f>+AF413</f>
        <v>0</v>
      </c>
      <c r="AG348" s="331">
        <f>+IF($F$10=0,AG413,0)</f>
        <v>0</v>
      </c>
      <c r="AH348" s="331">
        <f>+IF($F$10=0,AH413,IF($F$10=30,AH413,0))</f>
        <v>0</v>
      </c>
      <c r="AI348" s="331">
        <f>+IF($F$10=0,AI413,IF($F$10=30,0,AI413))</f>
        <v>0</v>
      </c>
      <c r="AJ348" s="331">
        <f>+IF($F$10=0,AJ413,IF($F$10=30,AJ413,0))</f>
        <v>0</v>
      </c>
      <c r="AK348" s="331">
        <f>+IF($F$10=0,AK413,0)</f>
        <v>0</v>
      </c>
      <c r="AL348" s="331">
        <f>+AL413</f>
        <v>0</v>
      </c>
      <c r="AM348" s="331">
        <f>+IF($F$10=0,AM413,0)</f>
        <v>0</v>
      </c>
      <c r="AN348" s="331">
        <f>+IF($F$10=0,AN413,IF($F$10=30,AN413,0))</f>
        <v>0</v>
      </c>
      <c r="AO348" s="331">
        <f>+IF($F$10=0,AO413,IF($F$10=30,0,AO413))</f>
        <v>0</v>
      </c>
      <c r="AP348" s="331">
        <f>+IF($F$10=0,AP413,IF($F$10=30,AP413,0))</f>
        <v>0</v>
      </c>
      <c r="AQ348" s="331">
        <f>+IF($F$10=0,AQ413,0)</f>
        <v>0</v>
      </c>
      <c r="AR348" s="331">
        <f>+AR413</f>
        <v>0</v>
      </c>
      <c r="AS348" s="331">
        <f>+IF($F$10=0,AS413,0)</f>
        <v>0</v>
      </c>
      <c r="AT348" s="331">
        <f>+IF($F$10=0,AT413,IF($F$10=30,AT413,0))</f>
        <v>0</v>
      </c>
      <c r="AU348" s="331">
        <f>+IF($F$10=0,AU413,IF($F$10=30,0,AU413))</f>
        <v>0</v>
      </c>
      <c r="AV348" s="331">
        <f>+IF($F$10=0,AV413,IF($F$10=30,AV413,0))</f>
        <v>0</v>
      </c>
      <c r="AW348" s="331">
        <f>+IF($F$10=0,AW413,0)</f>
        <v>0</v>
      </c>
      <c r="AX348" s="331">
        <f>+AX413</f>
        <v>0</v>
      </c>
      <c r="AY348" s="331">
        <f>+IF($F$10=0,AY413,0)</f>
        <v>0</v>
      </c>
      <c r="AZ348" s="331">
        <f>+IF($F$10=0,AZ413,IF($F$10=30,AZ413,0))</f>
        <v>0</v>
      </c>
      <c r="BA348" s="331">
        <f>+IF($F$10=0,BA413,IF($F$10=30,0,BA413))</f>
        <v>0</v>
      </c>
      <c r="BB348" s="331">
        <f>+IF($F$10=0,BB413,IF($F$10=30,BB413,0))</f>
        <v>0</v>
      </c>
      <c r="BC348" s="331">
        <f>+IF($F$10=0,BC413,0)</f>
        <v>0</v>
      </c>
      <c r="BD348" s="331">
        <f>+BD413</f>
        <v>0</v>
      </c>
      <c r="BE348" s="331">
        <f>+IF($F$10=0,BE413,0)</f>
        <v>0</v>
      </c>
      <c r="BF348" s="331">
        <f>+IF($F$10=0,BF413,IF($F$10=30,BF413,0))</f>
        <v>0</v>
      </c>
      <c r="BG348" s="331">
        <f>+IF($F$10=0,BG413,IF($F$10=30,0,BG413))</f>
        <v>0</v>
      </c>
      <c r="BH348" s="331">
        <f>+IF($F$10=0,BH413,IF($F$10=30,BH413,0))</f>
        <v>0</v>
      </c>
      <c r="BI348" s="331">
        <f>+IF($F$10=0,BI413,0)</f>
        <v>0</v>
      </c>
      <c r="BJ348" s="331">
        <f>+BJ413</f>
        <v>0</v>
      </c>
      <c r="BK348" s="331">
        <f>+IF($F$10=0,BK413,0)</f>
        <v>0</v>
      </c>
      <c r="BL348" s="331">
        <f>+IF($F$10=0,BL413,IF($F$10=30,BL413,0))</f>
        <v>0</v>
      </c>
      <c r="BM348" s="331">
        <f>+IF($F$10=0,BM413,IF($F$10=30,0,BM413))</f>
        <v>0</v>
      </c>
      <c r="BN348" s="331"/>
      <c r="BO348" s="331"/>
      <c r="BP348" s="331"/>
      <c r="BQ348" s="331"/>
      <c r="BR348" s="331"/>
      <c r="BS348" s="331"/>
      <c r="BT348" s="331"/>
      <c r="BU348" s="331"/>
    </row>
    <row r="349" spans="5:74" ht="15.75">
      <c r="E349" s="416">
        <f t="shared" si="207"/>
        <v>43745</v>
      </c>
      <c r="F349" s="331"/>
      <c r="G349" s="331"/>
      <c r="H349" s="331"/>
      <c r="I349" s="331"/>
      <c r="J349" s="331"/>
      <c r="K349" s="331"/>
      <c r="L349" s="331"/>
      <c r="M349" s="331"/>
      <c r="N349" s="331"/>
      <c r="O349" s="331">
        <f>+O414</f>
        <v>0</v>
      </c>
      <c r="P349" s="331">
        <f>+IF($F$10=0,P414,0)</f>
        <v>0</v>
      </c>
      <c r="Q349" s="331">
        <f>+IF($F$10=0,Q414,IF($F$10=30,Q414,0))</f>
        <v>0</v>
      </c>
      <c r="R349" s="331">
        <f>+IF($F$10=0,R414,IF($F$10=30,0,R414))</f>
        <v>0</v>
      </c>
      <c r="S349" s="331">
        <f>+IF($F$10=0,S414,IF($F$10=30,S414,0))</f>
        <v>0</v>
      </c>
      <c r="T349" s="331">
        <f>+IF($F$10=0,T414,0)</f>
        <v>0</v>
      </c>
      <c r="U349" s="331">
        <f>+U414</f>
        <v>0</v>
      </c>
      <c r="V349" s="331">
        <f>+IF($F$10=0,V414,0)</f>
        <v>0</v>
      </c>
      <c r="W349" s="331">
        <f>+IF($F$10=0,W414,IF($F$10=30,W414,0))</f>
        <v>0</v>
      </c>
      <c r="X349" s="331">
        <f>+IF($F$10=0,X414,IF($F$10=30,0,X414))</f>
        <v>0</v>
      </c>
      <c r="Y349" s="331">
        <f>+IF($F$10=0,Y414,IF($F$10=30,Y414,0))</f>
        <v>0</v>
      </c>
      <c r="Z349" s="331">
        <f>+IF($F$10=0,Z414,0)</f>
        <v>0</v>
      </c>
      <c r="AA349" s="331">
        <f>+AA414</f>
        <v>0</v>
      </c>
      <c r="AB349" s="331">
        <f>+IF($F$10=0,AB414,0)</f>
        <v>0</v>
      </c>
      <c r="AC349" s="331">
        <f>+IF($F$10=0,AC414,IF($F$10=30,AC414,0))</f>
        <v>0</v>
      </c>
      <c r="AD349" s="331">
        <f>+IF($F$10=0,AD414,IF($F$10=30,0,AD414))</f>
        <v>0</v>
      </c>
      <c r="AE349" s="331">
        <f>+IF($F$10=0,AE414,IF($F$10=30,AE414,0))</f>
        <v>0</v>
      </c>
      <c r="AF349" s="331">
        <f>+IF($F$10=0,AF414,0)</f>
        <v>0</v>
      </c>
      <c r="AG349" s="331">
        <f>+AG414</f>
        <v>0</v>
      </c>
      <c r="AH349" s="331">
        <f>+IF($F$10=0,AH414,0)</f>
        <v>0</v>
      </c>
      <c r="AI349" s="331">
        <f>+IF($F$10=0,AI414,IF($F$10=30,AI414,0))</f>
        <v>0</v>
      </c>
      <c r="AJ349" s="331">
        <f>+IF($F$10=0,AJ414,IF($F$10=30,0,AJ414))</f>
        <v>0</v>
      </c>
      <c r="AK349" s="331">
        <f>+IF($F$10=0,AK414,IF($F$10=30,AK414,0))</f>
        <v>0</v>
      </c>
      <c r="AL349" s="331">
        <f>+IF($F$10=0,AL414,0)</f>
        <v>0</v>
      </c>
      <c r="AM349" s="331">
        <f>+AM414</f>
        <v>0</v>
      </c>
      <c r="AN349" s="331">
        <f>+IF($F$10=0,AN414,0)</f>
        <v>0</v>
      </c>
      <c r="AO349" s="331">
        <f>+IF($F$10=0,AO414,IF($F$10=30,AO414,0))</f>
        <v>0</v>
      </c>
      <c r="AP349" s="331">
        <f>+IF($F$10=0,AP414,IF($F$10=30,0,AP414))</f>
        <v>0</v>
      </c>
      <c r="AQ349" s="331">
        <f>+IF($F$10=0,AQ414,IF($F$10=30,AQ414,0))</f>
        <v>0</v>
      </c>
      <c r="AR349" s="331">
        <f>+IF($F$10=0,AR414,0)</f>
        <v>0</v>
      </c>
      <c r="AS349" s="331">
        <f>+AS414</f>
        <v>0</v>
      </c>
      <c r="AT349" s="331">
        <f>+IF($F$10=0,AT414,0)</f>
        <v>0</v>
      </c>
      <c r="AU349" s="331">
        <f>+IF($F$10=0,AU414,IF($F$10=30,AU414,0))</f>
        <v>0</v>
      </c>
      <c r="AV349" s="331">
        <f>+IF($F$10=0,AV414,IF($F$10=30,0,AV414))</f>
        <v>0</v>
      </c>
      <c r="AW349" s="331">
        <f>+IF($F$10=0,AW414,IF($F$10=30,AW414,0))</f>
        <v>0</v>
      </c>
      <c r="AX349" s="331">
        <f>+IF($F$10=0,AX414,0)</f>
        <v>0</v>
      </c>
      <c r="AY349" s="331">
        <f>+AY414</f>
        <v>0</v>
      </c>
      <c r="AZ349" s="331">
        <f>+IF($F$10=0,AZ414,0)</f>
        <v>0</v>
      </c>
      <c r="BA349" s="331">
        <f>+IF($F$10=0,BA414,IF($F$10=30,BA414,0))</f>
        <v>0</v>
      </c>
      <c r="BB349" s="331">
        <f>+IF($F$10=0,BB414,IF($F$10=30,0,BB414))</f>
        <v>0</v>
      </c>
      <c r="BC349" s="331">
        <f>+IF($F$10=0,BC414,IF($F$10=30,BC414,0))</f>
        <v>0</v>
      </c>
      <c r="BD349" s="331">
        <f>+IF($F$10=0,BD414,0)</f>
        <v>0</v>
      </c>
      <c r="BE349" s="331">
        <f>+BE414</f>
        <v>0</v>
      </c>
      <c r="BF349" s="331">
        <f>+IF($F$10=0,BF414,0)</f>
        <v>0</v>
      </c>
      <c r="BG349" s="331">
        <f>+IF($F$10=0,BG414,IF($F$10=30,BG414,0))</f>
        <v>0</v>
      </c>
      <c r="BH349" s="331">
        <f>+IF($F$10=0,BH414,IF($F$10=30,0,BH414))</f>
        <v>0</v>
      </c>
      <c r="BI349" s="331">
        <f>+IF($F$10=0,BI414,IF($F$10=30,BI414,0))</f>
        <v>0</v>
      </c>
      <c r="BJ349" s="331">
        <f>+IF($F$10=0,BJ414,0)</f>
        <v>0</v>
      </c>
      <c r="BK349" s="331">
        <f>+BK414</f>
        <v>0</v>
      </c>
      <c r="BL349" s="331">
        <f>+IF($F$10=0,BL414,0)</f>
        <v>0</v>
      </c>
      <c r="BM349" s="331">
        <f>+IF($F$10=0,BM414,IF($F$10=30,BM414,0))</f>
        <v>0</v>
      </c>
      <c r="BN349" s="331"/>
      <c r="BO349" s="331"/>
      <c r="BP349" s="331"/>
      <c r="BQ349" s="331"/>
      <c r="BR349" s="331"/>
      <c r="BS349" s="331"/>
      <c r="BT349" s="331"/>
      <c r="BU349" s="331"/>
      <c r="BV349" s="331"/>
    </row>
    <row r="350" spans="5:75" ht="15.75">
      <c r="E350" s="416">
        <f t="shared" si="207"/>
        <v>43776</v>
      </c>
      <c r="F350" s="331"/>
      <c r="G350" s="331"/>
      <c r="H350" s="331"/>
      <c r="I350" s="331"/>
      <c r="J350" s="331"/>
      <c r="K350" s="331"/>
      <c r="L350" s="331"/>
      <c r="M350" s="331"/>
      <c r="N350" s="331"/>
      <c r="O350" s="331"/>
      <c r="P350" s="331">
        <f>+P415</f>
        <v>0</v>
      </c>
      <c r="Q350" s="331">
        <f>+IF($F$10=0,Q415,0)</f>
        <v>0</v>
      </c>
      <c r="R350" s="331">
        <f>+IF($F$10=0,R415,IF($F$10=30,R415,0))</f>
        <v>0</v>
      </c>
      <c r="S350" s="331">
        <f>+IF($F$10=0,S415,IF($F$10=30,0,S415))</f>
        <v>0</v>
      </c>
      <c r="T350" s="331">
        <f>+IF($F$10=0,T415,IF($F$10=30,T415,0))</f>
        <v>0</v>
      </c>
      <c r="U350" s="331">
        <f>+IF($F$10=0,U415,0)</f>
        <v>0</v>
      </c>
      <c r="V350" s="331">
        <f>+V415</f>
        <v>0</v>
      </c>
      <c r="W350" s="331">
        <f>+IF($F$10=0,W415,0)</f>
        <v>0</v>
      </c>
      <c r="X350" s="331">
        <f>+IF($F$10=0,X415,IF($F$10=30,X415,0))</f>
        <v>0</v>
      </c>
      <c r="Y350" s="331">
        <f>+IF($F$10=0,Y415,IF($F$10=30,0,Y415))</f>
        <v>0</v>
      </c>
      <c r="Z350" s="331">
        <f>+IF($F$10=0,Z415,IF($F$10=30,Z415,0))</f>
        <v>0</v>
      </c>
      <c r="AA350" s="331">
        <f>+IF($F$10=0,AA415,0)</f>
        <v>0</v>
      </c>
      <c r="AB350" s="331">
        <f>+AB415</f>
        <v>0</v>
      </c>
      <c r="AC350" s="331">
        <f>+IF($F$10=0,AC415,0)</f>
        <v>0</v>
      </c>
      <c r="AD350" s="331">
        <f>+IF($F$10=0,AD415,IF($F$10=30,AD415,0))</f>
        <v>0</v>
      </c>
      <c r="AE350" s="331">
        <f>+IF($F$10=0,AE415,IF($F$10=30,0,AE415))</f>
        <v>0</v>
      </c>
      <c r="AF350" s="331">
        <f>+IF($F$10=0,AF415,IF($F$10=30,AF415,0))</f>
        <v>0</v>
      </c>
      <c r="AG350" s="331">
        <f>+IF($F$10=0,AG415,0)</f>
        <v>0</v>
      </c>
      <c r="AH350" s="331">
        <f>+AH415</f>
        <v>0</v>
      </c>
      <c r="AI350" s="331">
        <f>+IF($F$10=0,AI415,0)</f>
        <v>0</v>
      </c>
      <c r="AJ350" s="331">
        <f>+IF($F$10=0,AJ415,IF($F$10=30,AJ415,0))</f>
        <v>0</v>
      </c>
      <c r="AK350" s="331">
        <f>+IF($F$10=0,AK415,IF($F$10=30,0,AK415))</f>
        <v>0</v>
      </c>
      <c r="AL350" s="331">
        <f>+IF($F$10=0,AL415,IF($F$10=30,AL415,0))</f>
        <v>0</v>
      </c>
      <c r="AM350" s="331">
        <f>+IF($F$10=0,AM415,0)</f>
        <v>0</v>
      </c>
      <c r="AN350" s="331">
        <f>+AN415</f>
        <v>0</v>
      </c>
      <c r="AO350" s="331">
        <f>+IF($F$10=0,AO415,0)</f>
        <v>0</v>
      </c>
      <c r="AP350" s="331">
        <f>+IF($F$10=0,AP415,IF($F$10=30,AP415,0))</f>
        <v>0</v>
      </c>
      <c r="AQ350" s="331">
        <f>+IF($F$10=0,AQ415,IF($F$10=30,0,AQ415))</f>
        <v>0</v>
      </c>
      <c r="AR350" s="331">
        <f>+IF($F$10=0,AR415,IF($F$10=30,AR415,0))</f>
        <v>0</v>
      </c>
      <c r="AS350" s="331">
        <f>+IF($F$10=0,AS415,0)</f>
        <v>0</v>
      </c>
      <c r="AT350" s="331">
        <f>+AT415</f>
        <v>0</v>
      </c>
      <c r="AU350" s="331">
        <f>+IF($F$10=0,AU415,0)</f>
        <v>0</v>
      </c>
      <c r="AV350" s="331">
        <f>+IF($F$10=0,AV415,IF($F$10=30,AV415,0))</f>
        <v>0</v>
      </c>
      <c r="AW350" s="331">
        <f>+IF($F$10=0,AW415,IF($F$10=30,0,AW415))</f>
        <v>0</v>
      </c>
      <c r="AX350" s="331">
        <f>+IF($F$10=0,AX415,IF($F$10=30,AX415,0))</f>
        <v>0</v>
      </c>
      <c r="AY350" s="331">
        <f>+IF($F$10=0,AY415,0)</f>
        <v>0</v>
      </c>
      <c r="AZ350" s="331">
        <f>+AZ415</f>
        <v>0</v>
      </c>
      <c r="BA350" s="331">
        <f>+IF($F$10=0,BA415,0)</f>
        <v>0</v>
      </c>
      <c r="BB350" s="331">
        <f>+IF($F$10=0,BB415,IF($F$10=30,BB415,0))</f>
        <v>0</v>
      </c>
      <c r="BC350" s="331">
        <f>+IF($F$10=0,BC415,IF($F$10=30,0,BC415))</f>
        <v>0</v>
      </c>
      <c r="BD350" s="331">
        <f>+IF($F$10=0,BD415,IF($F$10=30,BD415,0))</f>
        <v>0</v>
      </c>
      <c r="BE350" s="331">
        <f>+IF($F$10=0,BE415,0)</f>
        <v>0</v>
      </c>
      <c r="BF350" s="331">
        <f>+BF415</f>
        <v>0</v>
      </c>
      <c r="BG350" s="331">
        <f>+IF($F$10=0,BG415,0)</f>
        <v>0</v>
      </c>
      <c r="BH350" s="331">
        <f>+IF($F$10=0,BH415,IF($F$10=30,BH415,0))</f>
        <v>0</v>
      </c>
      <c r="BI350" s="331">
        <f>+IF($F$10=0,BI415,IF($F$10=30,0,BI415))</f>
        <v>0</v>
      </c>
      <c r="BJ350" s="331">
        <f>+IF($F$10=0,BJ415,IF($F$10=30,BJ415,0))</f>
        <v>0</v>
      </c>
      <c r="BK350" s="331">
        <f>+IF($F$10=0,BK415,0)</f>
        <v>0</v>
      </c>
      <c r="BL350" s="331">
        <f>+BL415</f>
        <v>0</v>
      </c>
      <c r="BM350" s="331">
        <f>+IF($F$10=0,BM415,0)</f>
        <v>0</v>
      </c>
      <c r="BN350" s="331"/>
      <c r="BO350" s="331"/>
      <c r="BP350" s="331"/>
      <c r="BQ350" s="331"/>
      <c r="BR350" s="331"/>
      <c r="BS350" s="331"/>
      <c r="BT350" s="331"/>
      <c r="BU350" s="331"/>
      <c r="BV350" s="331"/>
      <c r="BW350" s="331"/>
    </row>
    <row r="351" spans="5:76" ht="15.75">
      <c r="E351" s="416">
        <f t="shared" si="207"/>
        <v>43807</v>
      </c>
      <c r="F351" s="331"/>
      <c r="G351" s="331"/>
      <c r="H351" s="331"/>
      <c r="I351" s="331"/>
      <c r="J351" s="331"/>
      <c r="K351" s="331"/>
      <c r="L351" s="331"/>
      <c r="M351" s="331"/>
      <c r="N351" s="331"/>
      <c r="O351" s="331"/>
      <c r="P351" s="331"/>
      <c r="Q351" s="331">
        <f>+Q416</f>
        <v>0</v>
      </c>
      <c r="R351" s="331">
        <f>+IF($F$10=0,R416,0)</f>
        <v>0</v>
      </c>
      <c r="S351" s="331">
        <f>+IF($F$10=0,S416,IF($F$10=30,S416,0))</f>
        <v>0</v>
      </c>
      <c r="T351" s="331">
        <f>+IF($F$10=0,T416,IF($F$10=30,0,T416))</f>
        <v>0</v>
      </c>
      <c r="U351" s="331">
        <f>+IF($F$10=0,U416,IF($F$10=30,U416,0))</f>
        <v>0</v>
      </c>
      <c r="V351" s="331">
        <f>+IF($F$10=0,V416,0)</f>
        <v>0</v>
      </c>
      <c r="W351" s="331">
        <f>+W416</f>
        <v>0</v>
      </c>
      <c r="X351" s="331">
        <f>+IF($F$10=0,X416,0)</f>
        <v>0</v>
      </c>
      <c r="Y351" s="331">
        <f>+IF($F$10=0,Y416,IF($F$10=30,Y416,0))</f>
        <v>0</v>
      </c>
      <c r="Z351" s="331">
        <f>+IF($F$10=0,Z416,IF($F$10=30,0,Z416))</f>
        <v>0</v>
      </c>
      <c r="AA351" s="331">
        <f>+IF($F$10=0,AA416,IF($F$10=30,AA416,0))</f>
        <v>0</v>
      </c>
      <c r="AB351" s="331">
        <f>+IF($F$10=0,AB416,0)</f>
        <v>0</v>
      </c>
      <c r="AC351" s="331">
        <f>+AC416</f>
        <v>0</v>
      </c>
      <c r="AD351" s="331">
        <f>+IF($F$10=0,AD416,0)</f>
        <v>0</v>
      </c>
      <c r="AE351" s="331">
        <f>+IF($F$10=0,AE416,IF($F$10=30,AE416,0))</f>
        <v>0</v>
      </c>
      <c r="AF351" s="331">
        <f>+IF($F$10=0,AF416,IF($F$10=30,0,AF416))</f>
        <v>0</v>
      </c>
      <c r="AG351" s="331">
        <f>+IF($F$10=0,AG416,IF($F$10=30,AG416,0))</f>
        <v>0</v>
      </c>
      <c r="AH351" s="331">
        <f>+IF($F$10=0,AH416,0)</f>
        <v>0</v>
      </c>
      <c r="AI351" s="331">
        <f>+AI416</f>
        <v>0</v>
      </c>
      <c r="AJ351" s="331">
        <f>+IF($F$10=0,AJ416,0)</f>
        <v>0</v>
      </c>
      <c r="AK351" s="331">
        <f>+IF($F$10=0,AK416,IF($F$10=30,AK416,0))</f>
        <v>0</v>
      </c>
      <c r="AL351" s="331">
        <f>+IF($F$10=0,AL416,IF($F$10=30,0,AL416))</f>
        <v>0</v>
      </c>
      <c r="AM351" s="331">
        <f>+IF($F$10=0,AM416,IF($F$10=30,AM416,0))</f>
        <v>0</v>
      </c>
      <c r="AN351" s="331">
        <f>+IF($F$10=0,AN416,0)</f>
        <v>0</v>
      </c>
      <c r="AO351" s="331">
        <f>+AO416</f>
        <v>0</v>
      </c>
      <c r="AP351" s="331">
        <f>+IF($F$10=0,AP416,0)</f>
        <v>0</v>
      </c>
      <c r="AQ351" s="331">
        <f>+IF($F$10=0,AQ416,IF($F$10=30,AQ416,0))</f>
        <v>0</v>
      </c>
      <c r="AR351" s="331">
        <f>+IF($F$10=0,AR416,IF($F$10=30,0,AR416))</f>
        <v>0</v>
      </c>
      <c r="AS351" s="331">
        <f>+IF($F$10=0,AS416,IF($F$10=30,AS416,0))</f>
        <v>0</v>
      </c>
      <c r="AT351" s="331">
        <f>+IF($F$10=0,AT416,0)</f>
        <v>0</v>
      </c>
      <c r="AU351" s="331">
        <f>+AU416</f>
        <v>0</v>
      </c>
      <c r="AV351" s="331">
        <f>+IF($F$10=0,AV416,0)</f>
        <v>0</v>
      </c>
      <c r="AW351" s="331">
        <f>+IF($F$10=0,AW416,IF($F$10=30,AW416,0))</f>
        <v>0</v>
      </c>
      <c r="AX351" s="331">
        <f>+IF($F$10=0,AX416,IF($F$10=30,0,AX416))</f>
        <v>0</v>
      </c>
      <c r="AY351" s="331">
        <f>+IF($F$10=0,AY416,IF($F$10=30,AY416,0))</f>
        <v>0</v>
      </c>
      <c r="AZ351" s="331">
        <f>+IF($F$10=0,AZ416,0)</f>
        <v>0</v>
      </c>
      <c r="BA351" s="331">
        <f>+BA416</f>
        <v>0</v>
      </c>
      <c r="BB351" s="331">
        <f>+IF($F$10=0,BB416,0)</f>
        <v>0</v>
      </c>
      <c r="BC351" s="331">
        <f>+IF($F$10=0,BC416,IF($F$10=30,BC416,0))</f>
        <v>0</v>
      </c>
      <c r="BD351" s="331">
        <f>+IF($F$10=0,BD416,IF($F$10=30,0,BD416))</f>
        <v>0</v>
      </c>
      <c r="BE351" s="331">
        <f>+IF($F$10=0,BE416,IF($F$10=30,BE416,0))</f>
        <v>0</v>
      </c>
      <c r="BF351" s="331">
        <f>+IF($F$10=0,BF416,0)</f>
        <v>0</v>
      </c>
      <c r="BG351" s="331">
        <f>+BG416</f>
        <v>0</v>
      </c>
      <c r="BH351" s="331">
        <f>+IF($F$10=0,BH416,0)</f>
        <v>0</v>
      </c>
      <c r="BI351" s="331">
        <f>+IF($F$10=0,BI416,IF($F$10=30,BI416,0))</f>
        <v>0</v>
      </c>
      <c r="BJ351" s="331">
        <f>+IF($F$10=0,BJ416,IF($F$10=30,0,BJ416))</f>
        <v>0</v>
      </c>
      <c r="BK351" s="331">
        <f>+IF($F$10=0,BK416,IF($F$10=30,BK416,0))</f>
        <v>0</v>
      </c>
      <c r="BL351" s="331">
        <f>+IF($F$10=0,BL416,0)</f>
        <v>0</v>
      </c>
      <c r="BM351" s="331">
        <f>+BM416</f>
        <v>0</v>
      </c>
      <c r="BN351" s="331"/>
      <c r="BO351" s="331"/>
      <c r="BP351" s="331"/>
      <c r="BQ351" s="331"/>
      <c r="BR351" s="331"/>
      <c r="BS351" s="331"/>
      <c r="BT351" s="331"/>
      <c r="BU351" s="331"/>
      <c r="BV351" s="331"/>
      <c r="BW351" s="331"/>
      <c r="BX351" s="331"/>
    </row>
    <row r="352" spans="5:77" ht="15.75">
      <c r="E352" s="416">
        <f t="shared" si="207"/>
        <v>43838</v>
      </c>
      <c r="F352" s="331"/>
      <c r="G352" s="331"/>
      <c r="H352" s="331"/>
      <c r="I352" s="331"/>
      <c r="J352" s="331"/>
      <c r="K352" s="331"/>
      <c r="L352" s="331"/>
      <c r="M352" s="331"/>
      <c r="N352" s="331"/>
      <c r="O352" s="331"/>
      <c r="P352" s="331"/>
      <c r="Q352" s="331"/>
      <c r="R352" s="331">
        <f>+R417</f>
        <v>0</v>
      </c>
      <c r="S352" s="331">
        <f>+IF($F$10=0,S417,0)</f>
        <v>0</v>
      </c>
      <c r="T352" s="331">
        <f>+IF($F$10=0,T417,IF($F$10=30,T417,0))</f>
        <v>0</v>
      </c>
      <c r="U352" s="331">
        <f>+IF($F$10=0,U417,IF($F$10=30,0,U417))</f>
        <v>0</v>
      </c>
      <c r="V352" s="331">
        <f>+IF($F$10=0,V417,IF($F$10=30,V417,0))</f>
        <v>0</v>
      </c>
      <c r="W352" s="331">
        <f>+IF($F$10=0,W417,0)</f>
        <v>0</v>
      </c>
      <c r="X352" s="331">
        <f>+X417</f>
        <v>0</v>
      </c>
      <c r="Y352" s="331">
        <f>+IF($F$10=0,Y417,0)</f>
        <v>0</v>
      </c>
      <c r="Z352" s="331">
        <f>+IF($F$10=0,Z417,IF($F$10=30,Z417,0))</f>
        <v>0</v>
      </c>
      <c r="AA352" s="331">
        <f>+IF($F$10=0,AA417,IF($F$10=30,0,AA417))</f>
        <v>0</v>
      </c>
      <c r="AB352" s="331">
        <f>+IF($F$10=0,AB417,IF($F$10=30,AB417,0))</f>
        <v>0</v>
      </c>
      <c r="AC352" s="331">
        <f>+IF($F$10=0,AC417,0)</f>
        <v>0</v>
      </c>
      <c r="AD352" s="331">
        <f>+AD417</f>
        <v>0</v>
      </c>
      <c r="AE352" s="331">
        <f>+IF($F$10=0,AE417,0)</f>
        <v>0</v>
      </c>
      <c r="AF352" s="331">
        <f>+IF($F$10=0,AF417,IF($F$10=30,AF417,0))</f>
        <v>0</v>
      </c>
      <c r="AG352" s="331">
        <f>+IF($F$10=0,AG417,IF($F$10=30,0,AG417))</f>
        <v>0</v>
      </c>
      <c r="AH352" s="331">
        <f>+IF($F$10=0,AH417,IF($F$10=30,AH417,0))</f>
        <v>0</v>
      </c>
      <c r="AI352" s="331">
        <f>+IF($F$10=0,AI417,0)</f>
        <v>0</v>
      </c>
      <c r="AJ352" s="331">
        <f>+AJ417</f>
        <v>0</v>
      </c>
      <c r="AK352" s="331">
        <f>+IF($F$10=0,AK417,0)</f>
        <v>0</v>
      </c>
      <c r="AL352" s="331">
        <f>+IF($F$10=0,AL417,IF($F$10=30,AL417,0))</f>
        <v>0</v>
      </c>
      <c r="AM352" s="331">
        <f>+IF($F$10=0,AM417,IF($F$10=30,0,AM417))</f>
        <v>0</v>
      </c>
      <c r="AN352" s="331">
        <f>+IF($F$10=0,AN417,IF($F$10=30,AN417,0))</f>
        <v>0</v>
      </c>
      <c r="AO352" s="331">
        <f>+IF($F$10=0,AO417,0)</f>
        <v>0</v>
      </c>
      <c r="AP352" s="331">
        <f>+AP417</f>
        <v>0</v>
      </c>
      <c r="AQ352" s="331">
        <f>+IF($F$10=0,AQ417,0)</f>
        <v>0</v>
      </c>
      <c r="AR352" s="331">
        <f>+IF($F$10=0,AR417,IF($F$10=30,AR417,0))</f>
        <v>0</v>
      </c>
      <c r="AS352" s="331">
        <f>+IF($F$10=0,AS417,IF($F$10=30,0,AS417))</f>
        <v>0</v>
      </c>
      <c r="AT352" s="331">
        <f>+IF($F$10=0,AT417,IF($F$10=30,AT417,0))</f>
        <v>0</v>
      </c>
      <c r="AU352" s="331">
        <f>+IF($F$10=0,AU417,0)</f>
        <v>0</v>
      </c>
      <c r="AV352" s="331">
        <f>+AV417</f>
        <v>0</v>
      </c>
      <c r="AW352" s="331">
        <f>+IF($F$10=0,AW417,0)</f>
        <v>0</v>
      </c>
      <c r="AX352" s="331">
        <f>+IF($F$10=0,AX417,IF($F$10=30,AX417,0))</f>
        <v>0</v>
      </c>
      <c r="AY352" s="331">
        <f>+IF($F$10=0,AY417,IF($F$10=30,0,AY417))</f>
        <v>0</v>
      </c>
      <c r="AZ352" s="331">
        <f>+IF($F$10=0,AZ417,IF($F$10=30,AZ417,0))</f>
        <v>0</v>
      </c>
      <c r="BA352" s="331">
        <f>+IF($F$10=0,BA417,0)</f>
        <v>0</v>
      </c>
      <c r="BB352" s="331">
        <f>+BB417</f>
        <v>0</v>
      </c>
      <c r="BC352" s="331">
        <f>+IF($F$10=0,BC417,0)</f>
        <v>0</v>
      </c>
      <c r="BD352" s="331">
        <f>+IF($F$10=0,BD417,IF($F$10=30,BD417,0))</f>
        <v>0</v>
      </c>
      <c r="BE352" s="331">
        <f>+IF($F$10=0,BE417,IF($F$10=30,0,BE417))</f>
        <v>0</v>
      </c>
      <c r="BF352" s="331">
        <f>+IF($F$10=0,BF417,IF($F$10=30,BF417,0))</f>
        <v>0</v>
      </c>
      <c r="BG352" s="331">
        <f>+IF($F$10=0,BG417,0)</f>
        <v>0</v>
      </c>
      <c r="BH352" s="331">
        <f>+BH417</f>
        <v>0</v>
      </c>
      <c r="BI352" s="331">
        <f>+IF($F$10=0,BI417,0)</f>
        <v>0</v>
      </c>
      <c r="BJ352" s="331">
        <f>+IF($F$10=0,BJ417,IF($F$10=30,BJ417,0))</f>
        <v>0</v>
      </c>
      <c r="BK352" s="331">
        <f>+IF($F$10=0,BK417,IF($F$10=30,0,BK417))</f>
        <v>0</v>
      </c>
      <c r="BL352" s="331">
        <f>+IF($F$10=0,BL417,IF($F$10=30,BL417,0))</f>
        <v>0</v>
      </c>
      <c r="BM352" s="331">
        <f>+IF($F$10=0,BM417,0)</f>
        <v>0</v>
      </c>
      <c r="BN352" s="331"/>
      <c r="BO352" s="331"/>
      <c r="BP352" s="331"/>
      <c r="BQ352" s="331"/>
      <c r="BR352" s="331"/>
      <c r="BS352" s="331"/>
      <c r="BT352" s="331"/>
      <c r="BU352" s="331"/>
      <c r="BV352" s="331"/>
      <c r="BW352" s="331"/>
      <c r="BX352" s="331"/>
      <c r="BY352" s="331"/>
    </row>
    <row r="353" spans="5:65" s="331" customFormat="1" ht="15.75">
      <c r="E353" s="416">
        <f t="shared" si="207"/>
        <v>43869</v>
      </c>
      <c r="S353" s="331">
        <f>+S418</f>
        <v>0</v>
      </c>
      <c r="T353" s="331">
        <f>+IF($F$10=0,T418,0)</f>
        <v>0</v>
      </c>
      <c r="U353" s="331">
        <f>+IF($F$10=0,U418,IF($F$10=30,U418,0))</f>
        <v>0</v>
      </c>
      <c r="V353" s="331">
        <f>+IF($F$10=0,V418,IF($F$10=30,0,V418))</f>
        <v>0</v>
      </c>
      <c r="W353" s="331">
        <f>+IF($F$10=0,W418,IF($F$10=30,W418,0))</f>
        <v>0</v>
      </c>
      <c r="X353" s="331">
        <f>+IF($F$10=0,X418,0)</f>
        <v>0</v>
      </c>
      <c r="Y353" s="331">
        <f>+Y418</f>
        <v>0</v>
      </c>
      <c r="Z353" s="331">
        <f>+IF($F$10=0,Z418,0)</f>
        <v>0</v>
      </c>
      <c r="AA353" s="331">
        <f>+IF($F$10=0,AA418,IF($F$10=30,AA418,0))</f>
        <v>0</v>
      </c>
      <c r="AB353" s="331">
        <f>+IF($F$10=0,AB418,IF($F$10=30,0,AB418))</f>
        <v>0</v>
      </c>
      <c r="AC353" s="331">
        <f>+IF($F$10=0,AC418,IF($F$10=30,AC418,0))</f>
        <v>0</v>
      </c>
      <c r="AD353" s="331">
        <f>+IF($F$10=0,AD418,0)</f>
        <v>0</v>
      </c>
      <c r="AE353" s="331">
        <f>+AE418</f>
        <v>0</v>
      </c>
      <c r="AF353" s="331">
        <f>+IF($F$10=0,AF418,0)</f>
        <v>0</v>
      </c>
      <c r="AG353" s="331">
        <f>+IF($F$10=0,AG418,IF($F$10=30,AG418,0))</f>
        <v>0</v>
      </c>
      <c r="AH353" s="331">
        <f>+IF($F$10=0,AH418,IF($F$10=30,0,AH418))</f>
        <v>0</v>
      </c>
      <c r="AI353" s="331">
        <f>+IF($F$10=0,AI418,IF($F$10=30,AI418,0))</f>
        <v>0</v>
      </c>
      <c r="AJ353" s="331">
        <f>+IF($F$10=0,AJ418,0)</f>
        <v>0</v>
      </c>
      <c r="AK353" s="331">
        <f>+AK418</f>
        <v>0</v>
      </c>
      <c r="AL353" s="331">
        <f>+IF($F$10=0,AL418,0)</f>
        <v>0</v>
      </c>
      <c r="AM353" s="331">
        <f>+IF($F$10=0,AM418,IF($F$10=30,AM418,0))</f>
        <v>0</v>
      </c>
      <c r="AN353" s="331">
        <f>+IF($F$10=0,AN418,IF($F$10=30,0,AN418))</f>
        <v>0</v>
      </c>
      <c r="AO353" s="331">
        <f>+IF($F$10=0,AO418,IF($F$10=30,AO418,0))</f>
        <v>0</v>
      </c>
      <c r="AP353" s="331">
        <f>+IF($F$10=0,AP418,0)</f>
        <v>0</v>
      </c>
      <c r="AQ353" s="331">
        <f>+AQ418</f>
        <v>0</v>
      </c>
      <c r="AR353" s="331">
        <f>+IF($F$10=0,AR418,0)</f>
        <v>0</v>
      </c>
      <c r="AS353" s="331">
        <f>+IF($F$10=0,AS418,IF($F$10=30,AS418,0))</f>
        <v>0</v>
      </c>
      <c r="AT353" s="331">
        <f>+IF($F$10=0,AT418,IF($F$10=30,0,AT418))</f>
        <v>0</v>
      </c>
      <c r="AU353" s="331">
        <f>+IF($F$10=0,AU418,IF($F$10=30,AU418,0))</f>
        <v>0</v>
      </c>
      <c r="AV353" s="331">
        <f>+IF($F$10=0,AV418,0)</f>
        <v>0</v>
      </c>
      <c r="AW353" s="331">
        <f>+AW418</f>
        <v>0</v>
      </c>
      <c r="AX353" s="331">
        <f>+IF($F$10=0,AX418,0)</f>
        <v>0</v>
      </c>
      <c r="AY353" s="331">
        <f>+IF($F$10=0,AY418,IF($F$10=30,AY418,0))</f>
        <v>0</v>
      </c>
      <c r="AZ353" s="331">
        <f>+IF($F$10=0,AZ418,IF($F$10=30,0,AZ418))</f>
        <v>0</v>
      </c>
      <c r="BA353" s="331">
        <f>+IF($F$10=0,BA418,IF($F$10=30,BA418,0))</f>
        <v>0</v>
      </c>
      <c r="BB353" s="331">
        <f>+IF($F$10=0,BB418,0)</f>
        <v>0</v>
      </c>
      <c r="BC353" s="331">
        <f>+BC418</f>
        <v>0</v>
      </c>
      <c r="BD353" s="331">
        <f>+IF($F$10=0,BD418,0)</f>
        <v>0</v>
      </c>
      <c r="BE353" s="331">
        <f>+IF($F$10=0,BE418,IF($F$10=30,BE418,0))</f>
        <v>0</v>
      </c>
      <c r="BF353" s="331">
        <f>+IF($F$10=0,BF418,IF($F$10=30,0,BF418))</f>
        <v>0</v>
      </c>
      <c r="BG353" s="331">
        <f>+IF($F$10=0,BG418,IF($F$10=30,BG418,0))</f>
        <v>0</v>
      </c>
      <c r="BH353" s="331">
        <f>+IF($F$10=0,BH418,0)</f>
        <v>0</v>
      </c>
      <c r="BI353" s="331">
        <f>+BI418</f>
        <v>0</v>
      </c>
      <c r="BJ353" s="331">
        <f>+IF($F$10=0,BJ418,0)</f>
        <v>0</v>
      </c>
      <c r="BK353" s="331">
        <f>+IF($F$10=0,BK418,IF($F$10=30,BK418,0))</f>
        <v>0</v>
      </c>
      <c r="BL353" s="331">
        <f>+IF($F$10=0,BL418,IF($F$10=30,0,BL418))</f>
        <v>0</v>
      </c>
      <c r="BM353" s="331">
        <f>+IF($F$10=0,BM418,IF($F$10=30,BM418,0))</f>
        <v>0</v>
      </c>
    </row>
    <row r="354" spans="5:79" ht="15.75">
      <c r="E354" s="416">
        <f t="shared" si="207"/>
        <v>43900</v>
      </c>
      <c r="F354" s="331"/>
      <c r="G354" s="331"/>
      <c r="H354" s="331"/>
      <c r="I354" s="331"/>
      <c r="J354" s="331"/>
      <c r="K354" s="331"/>
      <c r="L354" s="331"/>
      <c r="M354" s="331"/>
      <c r="N354" s="331"/>
      <c r="O354" s="331"/>
      <c r="P354" s="331"/>
      <c r="Q354" s="331"/>
      <c r="R354" s="331"/>
      <c r="S354" s="331"/>
      <c r="T354" s="331">
        <f>+T419</f>
        <v>0</v>
      </c>
      <c r="U354" s="331">
        <f>+IF($F$10=0,U419,0)</f>
        <v>0</v>
      </c>
      <c r="V354" s="331">
        <f>+IF($F$10=0,V419,IF($F$10=30,V419,0))</f>
        <v>0</v>
      </c>
      <c r="W354" s="331">
        <f>+IF($F$10=0,W419,IF($F$10=30,0,W419))</f>
        <v>0</v>
      </c>
      <c r="X354" s="331">
        <f>+IF($F$10=0,X419,IF($F$10=30,X419,0))</f>
        <v>0</v>
      </c>
      <c r="Y354" s="331">
        <f>+IF($F$10=0,Y419,0)</f>
        <v>0</v>
      </c>
      <c r="Z354" s="331">
        <f>+Z419</f>
        <v>0</v>
      </c>
      <c r="AA354" s="331">
        <f>+IF($F$10=0,AA419,0)</f>
        <v>0</v>
      </c>
      <c r="AB354" s="331">
        <f>+IF($F$10=0,AB419,IF($F$10=30,AB419,0))</f>
        <v>0</v>
      </c>
      <c r="AC354" s="331">
        <f>+IF($F$10=0,AC419,IF($F$10=30,0,AC419))</f>
        <v>0</v>
      </c>
      <c r="AD354" s="331">
        <f>+IF($F$10=0,AD419,IF($F$10=30,AD419,0))</f>
        <v>0</v>
      </c>
      <c r="AE354" s="331">
        <f>+IF($F$10=0,AE419,0)</f>
        <v>0</v>
      </c>
      <c r="AF354" s="331">
        <f>+AF419</f>
        <v>0</v>
      </c>
      <c r="AG354" s="331">
        <f>+IF($F$10=0,AG419,0)</f>
        <v>0</v>
      </c>
      <c r="AH354" s="331">
        <f>+IF($F$10=0,AH419,IF($F$10=30,AH419,0))</f>
        <v>0</v>
      </c>
      <c r="AI354" s="331">
        <f>+IF($F$10=0,AI419,IF($F$10=30,0,AI419))</f>
        <v>0</v>
      </c>
      <c r="AJ354" s="331">
        <f>+IF($F$10=0,AJ419,IF($F$10=30,AJ419,0))</f>
        <v>0</v>
      </c>
      <c r="AK354" s="331">
        <f>+IF($F$10=0,AK419,0)</f>
        <v>0</v>
      </c>
      <c r="AL354" s="331">
        <f>+AL419</f>
        <v>0</v>
      </c>
      <c r="AM354" s="331">
        <f>+IF($F$10=0,AM419,0)</f>
        <v>0</v>
      </c>
      <c r="AN354" s="331">
        <f>+IF($F$10=0,AN419,IF($F$10=30,AN419,0))</f>
        <v>0</v>
      </c>
      <c r="AO354" s="331">
        <f>+IF($F$10=0,AO419,IF($F$10=30,0,AO419))</f>
        <v>0</v>
      </c>
      <c r="AP354" s="331">
        <f>+IF($F$10=0,AP419,IF($F$10=30,AP419,0))</f>
        <v>0</v>
      </c>
      <c r="AQ354" s="331">
        <f>+IF($F$10=0,AQ419,0)</f>
        <v>0</v>
      </c>
      <c r="AR354" s="331">
        <f>+AR419</f>
        <v>0</v>
      </c>
      <c r="AS354" s="331">
        <f>+IF($F$10=0,AS419,0)</f>
        <v>0</v>
      </c>
      <c r="AT354" s="331">
        <f>+IF($F$10=0,AT419,IF($F$10=30,AT419,0))</f>
        <v>0</v>
      </c>
      <c r="AU354" s="331">
        <f>+IF($F$10=0,AU419,IF($F$10=30,0,AU419))</f>
        <v>0</v>
      </c>
      <c r="AV354" s="331">
        <f>+IF($F$10=0,AV419,IF($F$10=30,AV419,0))</f>
        <v>0</v>
      </c>
      <c r="AW354" s="331">
        <f>+IF($F$10=0,AW419,0)</f>
        <v>0</v>
      </c>
      <c r="AX354" s="331">
        <f>+AX419</f>
        <v>0</v>
      </c>
      <c r="AY354" s="331">
        <f>+IF($F$10=0,AY419,0)</f>
        <v>0</v>
      </c>
      <c r="AZ354" s="331">
        <f>+IF($F$10=0,AZ419,IF($F$10=30,AZ419,0))</f>
        <v>0</v>
      </c>
      <c r="BA354" s="331">
        <f>+IF($F$10=0,BA419,IF($F$10=30,0,BA419))</f>
        <v>0</v>
      </c>
      <c r="BB354" s="331">
        <f>+IF($F$10=0,BB419,IF($F$10=30,BB419,0))</f>
        <v>0</v>
      </c>
      <c r="BC354" s="331">
        <f>+IF($F$10=0,BC419,0)</f>
        <v>0</v>
      </c>
      <c r="BD354" s="331">
        <f>+BD419</f>
        <v>0</v>
      </c>
      <c r="BE354" s="331">
        <f>+IF($F$10=0,BE419,0)</f>
        <v>0</v>
      </c>
      <c r="BF354" s="331">
        <f>+IF($F$10=0,BF419,IF($F$10=30,BF419,0))</f>
        <v>0</v>
      </c>
      <c r="BG354" s="331">
        <f>+IF($F$10=0,BG419,IF($F$10=30,0,BG419))</f>
        <v>0</v>
      </c>
      <c r="BH354" s="331">
        <f>+IF($F$10=0,BH419,IF($F$10=30,BH419,0))</f>
        <v>0</v>
      </c>
      <c r="BI354" s="331">
        <f>+IF($F$10=0,BI419,0)</f>
        <v>0</v>
      </c>
      <c r="BJ354" s="331">
        <f>+BJ419</f>
        <v>0</v>
      </c>
      <c r="BK354" s="331">
        <f>+IF($F$10=0,BK419,0)</f>
        <v>0</v>
      </c>
      <c r="BL354" s="331">
        <f>+IF($F$10=0,BL419,IF($F$10=30,BL419,0))</f>
        <v>0</v>
      </c>
      <c r="BM354" s="331">
        <f>+IF($F$10=0,BM419,IF($F$10=30,0,BM419))</f>
        <v>0</v>
      </c>
      <c r="BN354" s="331"/>
      <c r="BO354" s="331"/>
      <c r="BP354" s="331"/>
      <c r="BQ354" s="331"/>
      <c r="BR354" s="331"/>
      <c r="BS354" s="331"/>
      <c r="BT354" s="331"/>
      <c r="BU354" s="331"/>
      <c r="BV354" s="331"/>
      <c r="BW354" s="331"/>
      <c r="BX354" s="331"/>
      <c r="BY354" s="331"/>
      <c r="BZ354" s="331"/>
      <c r="CA354" s="331"/>
    </row>
    <row r="355" spans="5:80" ht="15.75">
      <c r="E355" s="416">
        <f t="shared" si="207"/>
        <v>43931</v>
      </c>
      <c r="F355" s="331"/>
      <c r="G355" s="331"/>
      <c r="H355" s="331"/>
      <c r="I355" s="331"/>
      <c r="J355" s="331"/>
      <c r="K355" s="331"/>
      <c r="L355" s="331"/>
      <c r="M355" s="331"/>
      <c r="N355" s="331"/>
      <c r="O355" s="331"/>
      <c r="P355" s="331"/>
      <c r="Q355" s="331"/>
      <c r="R355" s="331"/>
      <c r="S355" s="331"/>
      <c r="T355" s="331"/>
      <c r="U355" s="331">
        <f>+U420</f>
        <v>0</v>
      </c>
      <c r="V355" s="331">
        <f>+IF($F$10=0,V420,0)</f>
        <v>0</v>
      </c>
      <c r="W355" s="331">
        <f>+IF($F$10=0,W420,IF($F$10=30,W420,0))</f>
        <v>0</v>
      </c>
      <c r="X355" s="331">
        <f>+IF($F$10=0,X420,IF($F$10=30,0,X420))</f>
        <v>0</v>
      </c>
      <c r="Y355" s="331">
        <f>+IF($F$10=0,Y420,IF($F$10=30,Y420,0))</f>
        <v>0</v>
      </c>
      <c r="Z355" s="331">
        <f>+IF($F$10=0,Z420,0)</f>
        <v>0</v>
      </c>
      <c r="AA355" s="331">
        <f>+AA420</f>
        <v>0</v>
      </c>
      <c r="AB355" s="331">
        <f>+IF($F$10=0,AB420,0)</f>
        <v>0</v>
      </c>
      <c r="AC355" s="331">
        <f>+IF($F$10=0,AC420,IF($F$10=30,AC420,0))</f>
        <v>0</v>
      </c>
      <c r="AD355" s="331">
        <f>+IF($F$10=0,AD420,IF($F$10=30,0,AD420))</f>
        <v>0</v>
      </c>
      <c r="AE355" s="331">
        <f>+IF($F$10=0,AE420,IF($F$10=30,AE420,0))</f>
        <v>0</v>
      </c>
      <c r="AF355" s="331">
        <f>+IF($F$10=0,AF420,0)</f>
        <v>0</v>
      </c>
      <c r="AG355" s="331">
        <f>+AG420</f>
        <v>0</v>
      </c>
      <c r="AH355" s="331">
        <f>+IF($F$10=0,AH420,0)</f>
        <v>0</v>
      </c>
      <c r="AI355" s="331">
        <f>+IF($F$10=0,AI420,IF($F$10=30,AI420,0))</f>
        <v>0</v>
      </c>
      <c r="AJ355" s="331">
        <f>+IF($F$10=0,AJ420,IF($F$10=30,0,AJ420))</f>
        <v>0</v>
      </c>
      <c r="AK355" s="331">
        <f>+IF($F$10=0,AK420,IF($F$10=30,AK420,0))</f>
        <v>0</v>
      </c>
      <c r="AL355" s="331">
        <f>+IF($F$10=0,AL420,0)</f>
        <v>0</v>
      </c>
      <c r="AM355" s="331">
        <f>+AM420</f>
        <v>0</v>
      </c>
      <c r="AN355" s="331">
        <f>+IF($F$10=0,AN420,0)</f>
        <v>0</v>
      </c>
      <c r="AO355" s="331">
        <f>+IF($F$10=0,AO420,IF($F$10=30,AO420,0))</f>
        <v>0</v>
      </c>
      <c r="AP355" s="331">
        <f>+IF($F$10=0,AP420,IF($F$10=30,0,AP420))</f>
        <v>0</v>
      </c>
      <c r="AQ355" s="331">
        <f>+IF($F$10=0,AQ420,IF($F$10=30,AQ420,0))</f>
        <v>0</v>
      </c>
      <c r="AR355" s="331">
        <f>+IF($F$10=0,AR420,0)</f>
        <v>0</v>
      </c>
      <c r="AS355" s="331">
        <f>+AS420</f>
        <v>0</v>
      </c>
      <c r="AT355" s="331">
        <f>+IF($F$10=0,AT420,0)</f>
        <v>0</v>
      </c>
      <c r="AU355" s="331">
        <f>+IF($F$10=0,AU420,IF($F$10=30,AU420,0))</f>
        <v>0</v>
      </c>
      <c r="AV355" s="331">
        <f>+IF($F$10=0,AV420,IF($F$10=30,0,AV420))</f>
        <v>0</v>
      </c>
      <c r="AW355" s="331">
        <f>+IF($F$10=0,AW420,IF($F$10=30,AW420,0))</f>
        <v>0</v>
      </c>
      <c r="AX355" s="331">
        <f>+IF($F$10=0,AX420,0)</f>
        <v>0</v>
      </c>
      <c r="AY355" s="331">
        <f>+AY420</f>
        <v>0</v>
      </c>
      <c r="AZ355" s="331">
        <f>+IF($F$10=0,AZ420,0)</f>
        <v>0</v>
      </c>
      <c r="BA355" s="331">
        <f>+IF($F$10=0,BA420,IF($F$10=30,BA420,0))</f>
        <v>0</v>
      </c>
      <c r="BB355" s="331">
        <f>+IF($F$10=0,BB420,IF($F$10=30,0,BB420))</f>
        <v>0</v>
      </c>
      <c r="BC355" s="331">
        <f>+IF($F$10=0,BC420,IF($F$10=30,BC420,0))</f>
        <v>0</v>
      </c>
      <c r="BD355" s="331">
        <f>+IF($F$10=0,BD420,0)</f>
        <v>0</v>
      </c>
      <c r="BE355" s="331">
        <f>+BE420</f>
        <v>0</v>
      </c>
      <c r="BF355" s="331">
        <f>+IF($F$10=0,BF420,0)</f>
        <v>0</v>
      </c>
      <c r="BG355" s="331">
        <f>+IF($F$10=0,BG420,IF($F$10=30,BG420,0))</f>
        <v>0</v>
      </c>
      <c r="BH355" s="331">
        <f>+IF($F$10=0,BH420,IF($F$10=30,0,BH420))</f>
        <v>0</v>
      </c>
      <c r="BI355" s="331">
        <f>+IF($F$10=0,BI420,IF($F$10=30,BI420,0))</f>
        <v>0</v>
      </c>
      <c r="BJ355" s="331">
        <f>+IF($F$10=0,BJ420,0)</f>
        <v>0</v>
      </c>
      <c r="BK355" s="331">
        <f>+BK420</f>
        <v>0</v>
      </c>
      <c r="BL355" s="331">
        <f>+IF($F$10=0,BL420,0)</f>
        <v>0</v>
      </c>
      <c r="BM355" s="331">
        <f>+IF($F$10=0,BM420,IF($F$10=30,BM420,0))</f>
        <v>0</v>
      </c>
      <c r="BN355" s="331"/>
      <c r="BO355" s="331"/>
      <c r="BP355" s="331"/>
      <c r="BQ355" s="331"/>
      <c r="BR355" s="331"/>
      <c r="BS355" s="331"/>
      <c r="BT355" s="331"/>
      <c r="BU355" s="331"/>
      <c r="BV355" s="331"/>
      <c r="BW355" s="331"/>
      <c r="BX355" s="331"/>
      <c r="BY355" s="331"/>
      <c r="BZ355" s="331"/>
      <c r="CA355" s="331"/>
      <c r="CB355" s="331"/>
    </row>
    <row r="356" spans="5:81" ht="15.75">
      <c r="E356" s="416">
        <f t="shared" si="207"/>
        <v>43962</v>
      </c>
      <c r="F356" s="331"/>
      <c r="G356" s="331"/>
      <c r="H356" s="331"/>
      <c r="I356" s="331"/>
      <c r="J356" s="331"/>
      <c r="K356" s="331"/>
      <c r="L356" s="331"/>
      <c r="M356" s="331"/>
      <c r="N356" s="331"/>
      <c r="O356" s="331"/>
      <c r="P356" s="331"/>
      <c r="Q356" s="331"/>
      <c r="R356" s="331"/>
      <c r="S356" s="331"/>
      <c r="T356" s="331"/>
      <c r="U356" s="331"/>
      <c r="V356" s="331">
        <f>+V421</f>
        <v>0</v>
      </c>
      <c r="W356" s="331">
        <f>+IF($F$10=0,W421,0)</f>
        <v>0</v>
      </c>
      <c r="X356" s="331">
        <f>+IF($F$10=0,X421,IF($F$10=30,X421,0))</f>
        <v>0</v>
      </c>
      <c r="Y356" s="331">
        <f>+IF($F$10=0,Y421,IF($F$10=30,0,Y421))</f>
        <v>0</v>
      </c>
      <c r="Z356" s="331">
        <f>+IF($F$10=0,Z421,IF($F$10=30,Z421,0))</f>
        <v>0</v>
      </c>
      <c r="AA356" s="331">
        <f>+IF($F$10=0,AA421,0)</f>
        <v>0</v>
      </c>
      <c r="AB356" s="331">
        <f>+AB421</f>
        <v>0</v>
      </c>
      <c r="AC356" s="331">
        <f>+IF($F$10=0,AC421,0)</f>
        <v>0</v>
      </c>
      <c r="AD356" s="331">
        <f>+IF($F$10=0,AD421,IF($F$10=30,AD421,0))</f>
        <v>0</v>
      </c>
      <c r="AE356" s="331">
        <f>+IF($F$10=0,AE421,IF($F$10=30,0,AE421))</f>
        <v>0</v>
      </c>
      <c r="AF356" s="331">
        <f>+IF($F$10=0,AF421,IF($F$10=30,AF421,0))</f>
        <v>0</v>
      </c>
      <c r="AG356" s="331">
        <f>+IF($F$10=0,AG421,0)</f>
        <v>0</v>
      </c>
      <c r="AH356" s="331">
        <f>+AH421</f>
        <v>0</v>
      </c>
      <c r="AI356" s="331">
        <f>+IF($F$10=0,AI421,0)</f>
        <v>0</v>
      </c>
      <c r="AJ356" s="331">
        <f>+IF($F$10=0,AJ421,IF($F$10=30,AJ421,0))</f>
        <v>0</v>
      </c>
      <c r="AK356" s="331">
        <f>+IF($F$10=0,AK421,IF($F$10=30,0,AK421))</f>
        <v>0</v>
      </c>
      <c r="AL356" s="331">
        <f>+IF($F$10=0,AL421,IF($F$10=30,AL421,0))</f>
        <v>0</v>
      </c>
      <c r="AM356" s="331">
        <f>+IF($F$10=0,AM421,0)</f>
        <v>0</v>
      </c>
      <c r="AN356" s="331">
        <f>+AN421</f>
        <v>0</v>
      </c>
      <c r="AO356" s="331">
        <f>+IF($F$10=0,AO421,0)</f>
        <v>0</v>
      </c>
      <c r="AP356" s="331">
        <f>+IF($F$10=0,AP421,IF($F$10=30,AP421,0))</f>
        <v>0</v>
      </c>
      <c r="AQ356" s="331">
        <f>+IF($F$10=0,AQ421,IF($F$10=30,0,AQ421))</f>
        <v>0</v>
      </c>
      <c r="AR356" s="331">
        <f>+IF($F$10=0,AR421,IF($F$10=30,AR421,0))</f>
        <v>0</v>
      </c>
      <c r="AS356" s="331">
        <f>+IF($F$10=0,AS421,0)</f>
        <v>0</v>
      </c>
      <c r="AT356" s="331">
        <f>+AT421</f>
        <v>0</v>
      </c>
      <c r="AU356" s="331">
        <f>+IF($F$10=0,AU421,0)</f>
        <v>0</v>
      </c>
      <c r="AV356" s="331">
        <f>+IF($F$10=0,AV421,IF($F$10=30,AV421,0))</f>
        <v>0</v>
      </c>
      <c r="AW356" s="331">
        <f>+IF($F$10=0,AW421,IF($F$10=30,0,AW421))</f>
        <v>0</v>
      </c>
      <c r="AX356" s="331">
        <f>+IF($F$10=0,AX421,IF($F$10=30,AX421,0))</f>
        <v>0</v>
      </c>
      <c r="AY356" s="331">
        <f>+IF($F$10=0,AY421,0)</f>
        <v>0</v>
      </c>
      <c r="AZ356" s="331">
        <f>+AZ421</f>
        <v>0</v>
      </c>
      <c r="BA356" s="331">
        <f>+IF($F$10=0,BA421,0)</f>
        <v>0</v>
      </c>
      <c r="BB356" s="331">
        <f>+IF($F$10=0,BB421,IF($F$10=30,BB421,0))</f>
        <v>0</v>
      </c>
      <c r="BC356" s="331">
        <f>+IF($F$10=0,BC421,IF($F$10=30,0,BC421))</f>
        <v>0</v>
      </c>
      <c r="BD356" s="331">
        <f>+IF($F$10=0,BD421,IF($F$10=30,BD421,0))</f>
        <v>0</v>
      </c>
      <c r="BE356" s="331">
        <f>+IF($F$10=0,BE421,0)</f>
        <v>0</v>
      </c>
      <c r="BF356" s="331">
        <f>+BF421</f>
        <v>0</v>
      </c>
      <c r="BG356" s="331">
        <f>+IF($F$10=0,BG421,0)</f>
        <v>0</v>
      </c>
      <c r="BH356" s="331">
        <f>+IF($F$10=0,BH421,IF($F$10=30,BH421,0))</f>
        <v>0</v>
      </c>
      <c r="BI356" s="331">
        <f>+IF($F$10=0,BI421,IF($F$10=30,0,BI421))</f>
        <v>0</v>
      </c>
      <c r="BJ356" s="331">
        <f>+IF($F$10=0,BJ421,IF($F$10=30,BJ421,0))</f>
        <v>0</v>
      </c>
      <c r="BK356" s="331">
        <f>+IF($F$10=0,BK421,0)</f>
        <v>0</v>
      </c>
      <c r="BL356" s="331">
        <f>+BL421</f>
        <v>0</v>
      </c>
      <c r="BM356" s="331">
        <f>+IF($F$10=0,BM421,0)</f>
        <v>0</v>
      </c>
      <c r="BN356" s="331"/>
      <c r="BO356" s="331"/>
      <c r="BP356" s="331"/>
      <c r="BQ356" s="331"/>
      <c r="BR356" s="331"/>
      <c r="BS356" s="331"/>
      <c r="BT356" s="331"/>
      <c r="BU356" s="331"/>
      <c r="BV356" s="331"/>
      <c r="BW356" s="331"/>
      <c r="BX356" s="331"/>
      <c r="BY356" s="331"/>
      <c r="BZ356" s="331"/>
      <c r="CA356" s="331"/>
      <c r="CB356" s="331"/>
      <c r="CC356" s="331"/>
    </row>
    <row r="357" spans="5:82" ht="15.75">
      <c r="E357" s="416">
        <f t="shared" si="207"/>
        <v>43993</v>
      </c>
      <c r="F357" s="331"/>
      <c r="G357" s="331"/>
      <c r="H357" s="331"/>
      <c r="I357" s="331"/>
      <c r="J357" s="331"/>
      <c r="K357" s="331"/>
      <c r="L357" s="331"/>
      <c r="M357" s="331"/>
      <c r="N357" s="331"/>
      <c r="O357" s="331"/>
      <c r="P357" s="331"/>
      <c r="Q357" s="331"/>
      <c r="R357" s="331"/>
      <c r="S357" s="331"/>
      <c r="T357" s="331"/>
      <c r="U357" s="331"/>
      <c r="V357" s="331"/>
      <c r="W357" s="331">
        <f>+W422</f>
        <v>0</v>
      </c>
      <c r="X357" s="331">
        <f>+IF($F$10=0,X422,0)</f>
        <v>0</v>
      </c>
      <c r="Y357" s="331">
        <f>+IF($F$10=0,Y422,IF($F$10=30,Y422,0))</f>
        <v>0</v>
      </c>
      <c r="Z357" s="331">
        <f>+IF($F$10=0,Z422,IF($F$10=30,0,Z422))</f>
        <v>0</v>
      </c>
      <c r="AA357" s="331">
        <f>+IF($F$10=0,AA422,IF($F$10=30,AA422,0))</f>
        <v>0</v>
      </c>
      <c r="AB357" s="331">
        <f>+IF($F$10=0,AB422,0)</f>
        <v>0</v>
      </c>
      <c r="AC357" s="331">
        <f>+AC422</f>
        <v>0</v>
      </c>
      <c r="AD357" s="331">
        <f>+IF($F$10=0,AD422,0)</f>
        <v>0</v>
      </c>
      <c r="AE357" s="331">
        <f>+IF($F$10=0,AE422,IF($F$10=30,AE422,0))</f>
        <v>0</v>
      </c>
      <c r="AF357" s="331">
        <f>+IF($F$10=0,AF422,IF($F$10=30,0,AF422))</f>
        <v>0</v>
      </c>
      <c r="AG357" s="331">
        <f>+IF($F$10=0,AG422,IF($F$10=30,AG422,0))</f>
        <v>0</v>
      </c>
      <c r="AH357" s="331">
        <f>+IF($F$10=0,AH422,0)</f>
        <v>0</v>
      </c>
      <c r="AI357" s="331">
        <f>+AI422</f>
        <v>0</v>
      </c>
      <c r="AJ357" s="331">
        <f>+IF($F$10=0,AJ422,0)</f>
        <v>0</v>
      </c>
      <c r="AK357" s="331">
        <f>+IF($F$10=0,AK422,IF($F$10=30,AK422,0))</f>
        <v>0</v>
      </c>
      <c r="AL357" s="331">
        <f>+IF($F$10=0,AL422,IF($F$10=30,0,AL422))</f>
        <v>0</v>
      </c>
      <c r="AM357" s="331">
        <f>+IF($F$10=0,AM422,IF($F$10=30,AM422,0))</f>
        <v>0</v>
      </c>
      <c r="AN357" s="331">
        <f>+IF($F$10=0,AN422,0)</f>
        <v>0</v>
      </c>
      <c r="AO357" s="331">
        <f>+AO422</f>
        <v>0</v>
      </c>
      <c r="AP357" s="331">
        <f>+IF($F$10=0,AP422,0)</f>
        <v>0</v>
      </c>
      <c r="AQ357" s="331">
        <f>+IF($F$10=0,AQ422,IF($F$10=30,AQ422,0))</f>
        <v>0</v>
      </c>
      <c r="AR357" s="331">
        <f>+IF($F$10=0,AR422,IF($F$10=30,0,AR422))</f>
        <v>0</v>
      </c>
      <c r="AS357" s="331">
        <f>+IF($F$10=0,AS422,IF($F$10=30,AS422,0))</f>
        <v>0</v>
      </c>
      <c r="AT357" s="331">
        <f>+IF($F$10=0,AT422,0)</f>
        <v>0</v>
      </c>
      <c r="AU357" s="331">
        <f>+AU422</f>
        <v>0</v>
      </c>
      <c r="AV357" s="331">
        <f>+IF($F$10=0,AV422,0)</f>
        <v>0</v>
      </c>
      <c r="AW357" s="331">
        <f>+IF($F$10=0,AW422,IF($F$10=30,AW422,0))</f>
        <v>0</v>
      </c>
      <c r="AX357" s="331">
        <f>+IF($F$10=0,AX422,IF($F$10=30,0,AX422))</f>
        <v>0</v>
      </c>
      <c r="AY357" s="331">
        <f>+IF($F$10=0,AY422,IF($F$10=30,AY422,0))</f>
        <v>0</v>
      </c>
      <c r="AZ357" s="331">
        <f>+IF($F$10=0,AZ422,0)</f>
        <v>0</v>
      </c>
      <c r="BA357" s="331">
        <f>+BA422</f>
        <v>0</v>
      </c>
      <c r="BB357" s="331">
        <f>+IF($F$10=0,BB422,0)</f>
        <v>0</v>
      </c>
      <c r="BC357" s="331">
        <f>+IF($F$10=0,BC422,IF($F$10=30,BC422,0))</f>
        <v>0</v>
      </c>
      <c r="BD357" s="331">
        <f>+IF($F$10=0,BD422,IF($F$10=30,0,BD422))</f>
        <v>0</v>
      </c>
      <c r="BE357" s="331">
        <f>+IF($F$10=0,BE422,IF($F$10=30,BE422,0))</f>
        <v>0</v>
      </c>
      <c r="BF357" s="331">
        <f>+IF($F$10=0,BF422,0)</f>
        <v>0</v>
      </c>
      <c r="BG357" s="331">
        <f>+BG422</f>
        <v>0</v>
      </c>
      <c r="BH357" s="331">
        <f>+IF($F$10=0,BH422,0)</f>
        <v>0</v>
      </c>
      <c r="BI357" s="331">
        <f>+IF($F$10=0,BI422,IF($F$10=30,BI422,0))</f>
        <v>0</v>
      </c>
      <c r="BJ357" s="331">
        <f>+IF($F$10=0,BJ422,IF($F$10=30,0,BJ422))</f>
        <v>0</v>
      </c>
      <c r="BK357" s="331">
        <f>+IF($F$10=0,BK422,IF($F$10=30,BK422,0))</f>
        <v>0</v>
      </c>
      <c r="BL357" s="331">
        <f>+IF($F$10=0,BL422,0)</f>
        <v>0</v>
      </c>
      <c r="BM357" s="331">
        <f>+BM422</f>
        <v>0</v>
      </c>
      <c r="BN357" s="331"/>
      <c r="BO357" s="331"/>
      <c r="BP357" s="331"/>
      <c r="BQ357" s="331"/>
      <c r="BR357" s="331"/>
      <c r="BS357" s="331"/>
      <c r="BT357" s="331"/>
      <c r="BU357" s="331"/>
      <c r="BV357" s="331"/>
      <c r="BW357" s="331"/>
      <c r="BX357" s="331"/>
      <c r="BY357" s="331"/>
      <c r="BZ357" s="331"/>
      <c r="CA357" s="331"/>
      <c r="CB357" s="331"/>
      <c r="CC357" s="331"/>
      <c r="CD357" s="331"/>
    </row>
    <row r="358" spans="5:83" ht="15.75">
      <c r="E358" s="416">
        <f t="shared" si="207"/>
        <v>44024</v>
      </c>
      <c r="F358" s="331"/>
      <c r="G358" s="331"/>
      <c r="H358" s="331"/>
      <c r="I358" s="331"/>
      <c r="J358" s="331"/>
      <c r="K358" s="331"/>
      <c r="L358" s="331"/>
      <c r="M358" s="331"/>
      <c r="N358" s="331"/>
      <c r="O358" s="331"/>
      <c r="P358" s="331"/>
      <c r="Q358" s="331"/>
      <c r="R358" s="331"/>
      <c r="S358" s="331"/>
      <c r="T358" s="331"/>
      <c r="U358" s="331"/>
      <c r="V358" s="331"/>
      <c r="W358" s="331"/>
      <c r="X358" s="331">
        <f>+X423</f>
        <v>0</v>
      </c>
      <c r="Y358" s="331">
        <f>+IF($F$10=0,Y423,0)</f>
        <v>0</v>
      </c>
      <c r="Z358" s="331">
        <f>+IF($F$10=0,Z423,IF($F$10=30,Z423,0))</f>
        <v>0</v>
      </c>
      <c r="AA358" s="331">
        <f>+IF($F$10=0,AA423,IF($F$10=30,0,AA423))</f>
        <v>0</v>
      </c>
      <c r="AB358" s="331">
        <f>+IF($F$10=0,AB423,IF($F$10=30,AB423,0))</f>
        <v>0</v>
      </c>
      <c r="AC358" s="331">
        <f>+IF($F$10=0,AC423,0)</f>
        <v>0</v>
      </c>
      <c r="AD358" s="331">
        <f>+AD423</f>
        <v>0</v>
      </c>
      <c r="AE358" s="331">
        <f>+IF($F$10=0,AE423,0)</f>
        <v>0</v>
      </c>
      <c r="AF358" s="331">
        <f>+IF($F$10=0,AF423,IF($F$10=30,AF423,0))</f>
        <v>0</v>
      </c>
      <c r="AG358" s="331">
        <f>+IF($F$10=0,AG423,IF($F$10=30,0,AG423))</f>
        <v>0</v>
      </c>
      <c r="AH358" s="331">
        <f>+IF($F$10=0,AH423,IF($F$10=30,AH423,0))</f>
        <v>0</v>
      </c>
      <c r="AI358" s="331">
        <f>+IF($F$10=0,AI423,0)</f>
        <v>0</v>
      </c>
      <c r="AJ358" s="331">
        <f>+AJ423</f>
        <v>0</v>
      </c>
      <c r="AK358" s="331">
        <f>+IF($F$10=0,AK423,0)</f>
        <v>0</v>
      </c>
      <c r="AL358" s="331">
        <f>+IF($F$10=0,AL423,IF($F$10=30,AL423,0))</f>
        <v>0</v>
      </c>
      <c r="AM358" s="331">
        <f>+IF($F$10=0,AM423,IF($F$10=30,0,AM423))</f>
        <v>0</v>
      </c>
      <c r="AN358" s="331">
        <f>+IF($F$10=0,AN423,IF($F$10=30,AN423,0))</f>
        <v>0</v>
      </c>
      <c r="AO358" s="331">
        <f>+IF($F$10=0,AO423,0)</f>
        <v>0</v>
      </c>
      <c r="AP358" s="331">
        <f>+AP423</f>
        <v>0</v>
      </c>
      <c r="AQ358" s="331">
        <f>+IF($F$10=0,AQ423,0)</f>
        <v>0</v>
      </c>
      <c r="AR358" s="331">
        <f>+IF($F$10=0,AR423,IF($F$10=30,AR423,0))</f>
        <v>0</v>
      </c>
      <c r="AS358" s="331">
        <f>+IF($F$10=0,AS423,IF($F$10=30,0,AS423))</f>
        <v>0</v>
      </c>
      <c r="AT358" s="331">
        <f>+IF($F$10=0,AT423,IF($F$10=30,AT423,0))</f>
        <v>0</v>
      </c>
      <c r="AU358" s="331">
        <f>+IF($F$10=0,AU423,0)</f>
        <v>0</v>
      </c>
      <c r="AV358" s="331">
        <f>+AV423</f>
        <v>0</v>
      </c>
      <c r="AW358" s="331">
        <f>+IF($F$10=0,AW423,0)</f>
        <v>0</v>
      </c>
      <c r="AX358" s="331">
        <f>+IF($F$10=0,AX423,IF($F$10=30,AX423,0))</f>
        <v>0</v>
      </c>
      <c r="AY358" s="331">
        <f>+IF($F$10=0,AY423,IF($F$10=30,0,AY423))</f>
        <v>0</v>
      </c>
      <c r="AZ358" s="331">
        <f>+IF($F$10=0,AZ423,IF($F$10=30,AZ423,0))</f>
        <v>0</v>
      </c>
      <c r="BA358" s="331">
        <f>+IF($F$10=0,BA423,0)</f>
        <v>0</v>
      </c>
      <c r="BB358" s="331">
        <f>+BB423</f>
        <v>0</v>
      </c>
      <c r="BC358" s="331">
        <f>+IF($F$10=0,BC423,0)</f>
        <v>0</v>
      </c>
      <c r="BD358" s="331">
        <f>+IF($F$10=0,BD423,IF($F$10=30,BD423,0))</f>
        <v>0</v>
      </c>
      <c r="BE358" s="331">
        <f>+IF($F$10=0,BE423,IF($F$10=30,0,BE423))</f>
        <v>0</v>
      </c>
      <c r="BF358" s="331">
        <f>+IF($F$10=0,BF423,IF($F$10=30,BF423,0))</f>
        <v>0</v>
      </c>
      <c r="BG358" s="331">
        <f>+IF($F$10=0,BG423,0)</f>
        <v>0</v>
      </c>
      <c r="BH358" s="331">
        <f>+BH423</f>
        <v>0</v>
      </c>
      <c r="BI358" s="331">
        <f>+IF($F$10=0,BI423,0)</f>
        <v>0</v>
      </c>
      <c r="BJ358" s="331">
        <f>+IF($F$10=0,BJ423,IF($F$10=30,BJ423,0))</f>
        <v>0</v>
      </c>
      <c r="BK358" s="331">
        <f>+IF($F$10=0,BK423,IF($F$10=30,0,BK423))</f>
        <v>0</v>
      </c>
      <c r="BL358" s="331">
        <f>+IF($F$10=0,BL423,IF($F$10=30,BL423,0))</f>
        <v>0</v>
      </c>
      <c r="BM358" s="331">
        <f>+IF($F$10=0,BM423,0)</f>
        <v>0</v>
      </c>
      <c r="BN358" s="331"/>
      <c r="BO358" s="331"/>
      <c r="BP358" s="331"/>
      <c r="BQ358" s="331"/>
      <c r="BR358" s="331"/>
      <c r="BS358" s="331"/>
      <c r="BT358" s="331"/>
      <c r="BU358" s="331"/>
      <c r="BV358" s="331"/>
      <c r="BW358" s="331"/>
      <c r="BX358" s="331"/>
      <c r="BY358" s="331"/>
      <c r="BZ358" s="331"/>
      <c r="CA358" s="331"/>
      <c r="CB358" s="331"/>
      <c r="CC358" s="331"/>
      <c r="CD358" s="331"/>
      <c r="CE358" s="331"/>
    </row>
    <row r="359" spans="5:84" ht="15.75">
      <c r="E359" s="416">
        <f t="shared" si="207"/>
        <v>44055</v>
      </c>
      <c r="F359" s="331"/>
      <c r="G359" s="331"/>
      <c r="H359" s="331"/>
      <c r="I359" s="331"/>
      <c r="J359" s="331"/>
      <c r="K359" s="331"/>
      <c r="L359" s="331"/>
      <c r="M359" s="331"/>
      <c r="N359" s="331"/>
      <c r="O359" s="331"/>
      <c r="P359" s="331"/>
      <c r="Q359" s="331"/>
      <c r="R359" s="331"/>
      <c r="S359" s="331"/>
      <c r="T359" s="331"/>
      <c r="U359" s="331"/>
      <c r="V359" s="331"/>
      <c r="W359" s="331"/>
      <c r="X359" s="331"/>
      <c r="Y359" s="331">
        <f>+Y424</f>
        <v>0</v>
      </c>
      <c r="Z359" s="331">
        <f>+IF($F$10=0,Z424,0)</f>
        <v>0</v>
      </c>
      <c r="AA359" s="331">
        <f>+IF($F$10=0,AA424,IF($F$10=30,AA424,0))</f>
        <v>0</v>
      </c>
      <c r="AB359" s="331">
        <f>+IF($F$10=0,AB424,IF($F$10=30,0,AB424))</f>
        <v>0</v>
      </c>
      <c r="AC359" s="331">
        <f>+IF($F$10=0,AC424,IF($F$10=30,AC424,0))</f>
        <v>0</v>
      </c>
      <c r="AD359" s="331">
        <f>+IF($F$10=0,AD424,0)</f>
        <v>0</v>
      </c>
      <c r="AE359" s="331">
        <f>+AE424</f>
        <v>0</v>
      </c>
      <c r="AF359" s="331">
        <f>+IF($F$10=0,AF424,0)</f>
        <v>0</v>
      </c>
      <c r="AG359" s="331">
        <f>+IF($F$10=0,AG424,IF($F$10=30,AG424,0))</f>
        <v>0</v>
      </c>
      <c r="AH359" s="331">
        <f>+IF($F$10=0,AH424,IF($F$10=30,0,AH424))</f>
        <v>0</v>
      </c>
      <c r="AI359" s="331">
        <f>+IF($F$10=0,AI424,IF($F$10=30,AI424,0))</f>
        <v>0</v>
      </c>
      <c r="AJ359" s="331">
        <f>+IF($F$10=0,AJ424,0)</f>
        <v>0</v>
      </c>
      <c r="AK359" s="331">
        <f>+AK424</f>
        <v>0</v>
      </c>
      <c r="AL359" s="331">
        <f>+IF($F$10=0,AL424,0)</f>
        <v>0</v>
      </c>
      <c r="AM359" s="331">
        <f>+IF($F$10=0,AM424,IF($F$10=30,AM424,0))</f>
        <v>0</v>
      </c>
      <c r="AN359" s="331">
        <f>+IF($F$10=0,AN424,IF($F$10=30,0,AN424))</f>
        <v>0</v>
      </c>
      <c r="AO359" s="331">
        <f>+IF($F$10=0,AO424,IF($F$10=30,AO424,0))</f>
        <v>0</v>
      </c>
      <c r="AP359" s="331">
        <f>+IF($F$10=0,AP424,0)</f>
        <v>0</v>
      </c>
      <c r="AQ359" s="331">
        <f>+AQ424</f>
        <v>0</v>
      </c>
      <c r="AR359" s="331">
        <f>+IF($F$10=0,AR424,0)</f>
        <v>0</v>
      </c>
      <c r="AS359" s="331">
        <f>+IF($F$10=0,AS424,IF($F$10=30,AS424,0))</f>
        <v>0</v>
      </c>
      <c r="AT359" s="331">
        <f>+IF($F$10=0,AT424,IF($F$10=30,0,AT424))</f>
        <v>0</v>
      </c>
      <c r="AU359" s="331">
        <f>+IF($F$10=0,AU424,IF($F$10=30,AU424,0))</f>
        <v>0</v>
      </c>
      <c r="AV359" s="331">
        <f>+IF($F$10=0,AV424,0)</f>
        <v>0</v>
      </c>
      <c r="AW359" s="331">
        <f>+AW424</f>
        <v>0</v>
      </c>
      <c r="AX359" s="331">
        <f>+IF($F$10=0,AX424,0)</f>
        <v>0</v>
      </c>
      <c r="AY359" s="331">
        <f>+IF($F$10=0,AY424,IF($F$10=30,AY424,0))</f>
        <v>0</v>
      </c>
      <c r="AZ359" s="331">
        <f>+IF($F$10=0,AZ424,IF($F$10=30,0,AZ424))</f>
        <v>0</v>
      </c>
      <c r="BA359" s="331">
        <f>+IF($F$10=0,BA424,IF($F$10=30,BA424,0))</f>
        <v>0</v>
      </c>
      <c r="BB359" s="331">
        <f>+IF($F$10=0,BB424,0)</f>
        <v>0</v>
      </c>
      <c r="BC359" s="331">
        <f>+BC424</f>
        <v>0</v>
      </c>
      <c r="BD359" s="331">
        <f>+IF($F$10=0,BD424,0)</f>
        <v>0</v>
      </c>
      <c r="BE359" s="331">
        <f>+IF($F$10=0,BE424,IF($F$10=30,BE424,0))</f>
        <v>0</v>
      </c>
      <c r="BF359" s="331">
        <f>+IF($F$10=0,BF424,IF($F$10=30,0,BF424))</f>
        <v>0</v>
      </c>
      <c r="BG359" s="331">
        <f>+IF($F$10=0,BG424,IF($F$10=30,BG424,0))</f>
        <v>0</v>
      </c>
      <c r="BH359" s="331">
        <f>+IF($F$10=0,BH424,0)</f>
        <v>0</v>
      </c>
      <c r="BI359" s="331">
        <f>+BI424</f>
        <v>0</v>
      </c>
      <c r="BJ359" s="331">
        <f>+IF($F$10=0,BJ424,0)</f>
        <v>0</v>
      </c>
      <c r="BK359" s="331">
        <f>+IF($F$10=0,BK424,IF($F$10=30,BK424,0))</f>
        <v>0</v>
      </c>
      <c r="BL359" s="331">
        <f>+IF($F$10=0,BL424,IF($F$10=30,0,BL424))</f>
        <v>0</v>
      </c>
      <c r="BM359" s="331">
        <f>+IF($F$10=0,BM424,IF($F$10=30,BM424,0))</f>
        <v>0</v>
      </c>
      <c r="BN359" s="331"/>
      <c r="BO359" s="331"/>
      <c r="BP359" s="331"/>
      <c r="BQ359" s="331"/>
      <c r="BR359" s="331"/>
      <c r="BS359" s="331"/>
      <c r="BT359" s="331"/>
      <c r="BU359" s="331"/>
      <c r="BV359" s="331"/>
      <c r="BW359" s="331"/>
      <c r="BX359" s="331"/>
      <c r="BY359" s="331"/>
      <c r="BZ359" s="331"/>
      <c r="CA359" s="331"/>
      <c r="CB359" s="331"/>
      <c r="CC359" s="331"/>
      <c r="CD359" s="331"/>
      <c r="CE359" s="331"/>
      <c r="CF359" s="331"/>
    </row>
    <row r="360" spans="5:85" ht="15.75">
      <c r="E360" s="416">
        <f t="shared" si="207"/>
        <v>44086</v>
      </c>
      <c r="F360" s="331"/>
      <c r="G360" s="331"/>
      <c r="H360" s="331"/>
      <c r="I360" s="331"/>
      <c r="J360" s="331"/>
      <c r="K360" s="331"/>
      <c r="L360" s="331"/>
      <c r="M360" s="331"/>
      <c r="N360" s="331"/>
      <c r="O360" s="331"/>
      <c r="P360" s="331"/>
      <c r="Q360" s="331"/>
      <c r="R360" s="331"/>
      <c r="S360" s="331"/>
      <c r="T360" s="331"/>
      <c r="U360" s="331"/>
      <c r="V360" s="331"/>
      <c r="W360" s="331"/>
      <c r="X360" s="331"/>
      <c r="Y360" s="331"/>
      <c r="Z360" s="331">
        <f>+Z425</f>
        <v>0</v>
      </c>
      <c r="AA360" s="331">
        <f>+IF($F$10=0,AA425,0)</f>
        <v>0</v>
      </c>
      <c r="AB360" s="331">
        <f>+IF($F$10=0,AB425,IF($F$10=30,AB425,0))</f>
        <v>0</v>
      </c>
      <c r="AC360" s="331">
        <f>+IF($F$10=0,AC425,IF($F$10=30,0,AC425))</f>
        <v>0</v>
      </c>
      <c r="AD360" s="331">
        <f>+IF($F$10=0,AD425,IF($F$10=30,AD425,0))</f>
        <v>0</v>
      </c>
      <c r="AE360" s="331">
        <f>+IF($F$10=0,AE425,0)</f>
        <v>0</v>
      </c>
      <c r="AF360" s="331">
        <f>+AF425</f>
        <v>0</v>
      </c>
      <c r="AG360" s="331">
        <f>+IF($F$10=0,AG425,0)</f>
        <v>0</v>
      </c>
      <c r="AH360" s="331">
        <f>+IF($F$10=0,AH425,IF($F$10=30,AH425,0))</f>
        <v>0</v>
      </c>
      <c r="AI360" s="331">
        <f>+IF($F$10=0,AI425,IF($F$10=30,0,AI425))</f>
        <v>0</v>
      </c>
      <c r="AJ360" s="331">
        <f>+IF($F$10=0,AJ425,IF($F$10=30,AJ425,0))</f>
        <v>0</v>
      </c>
      <c r="AK360" s="331">
        <f>+IF($F$10=0,AK425,0)</f>
        <v>0</v>
      </c>
      <c r="AL360" s="331">
        <f>+AL425</f>
        <v>0</v>
      </c>
      <c r="AM360" s="331">
        <f>+IF($F$10=0,AM425,0)</f>
        <v>0</v>
      </c>
      <c r="AN360" s="331">
        <f>+IF($F$10=0,AN425,IF($F$10=30,AN425,0))</f>
        <v>0</v>
      </c>
      <c r="AO360" s="331">
        <f>+IF($F$10=0,AO425,IF($F$10=30,0,AO425))</f>
        <v>0</v>
      </c>
      <c r="AP360" s="331">
        <f>+IF($F$10=0,AP425,IF($F$10=30,AP425,0))</f>
        <v>0</v>
      </c>
      <c r="AQ360" s="331">
        <f>+IF($F$10=0,AQ425,0)</f>
        <v>0</v>
      </c>
      <c r="AR360" s="331">
        <f>+AR425</f>
        <v>0</v>
      </c>
      <c r="AS360" s="331">
        <f>+IF($F$10=0,AS425,0)</f>
        <v>0</v>
      </c>
      <c r="AT360" s="331">
        <f>+IF($F$10=0,AT425,IF($F$10=30,AT425,0))</f>
        <v>0</v>
      </c>
      <c r="AU360" s="331">
        <f>+IF($F$10=0,AU425,IF($F$10=30,0,AU425))</f>
        <v>0</v>
      </c>
      <c r="AV360" s="331">
        <f>+IF($F$10=0,AV425,IF($F$10=30,AV425,0))</f>
        <v>0</v>
      </c>
      <c r="AW360" s="331">
        <f>+IF($F$10=0,AW425,0)</f>
        <v>0</v>
      </c>
      <c r="AX360" s="331">
        <f>+AX425</f>
        <v>0</v>
      </c>
      <c r="AY360" s="331">
        <f>+IF($F$10=0,AY425,0)</f>
        <v>0</v>
      </c>
      <c r="AZ360" s="331">
        <f>+IF($F$10=0,AZ425,IF($F$10=30,AZ425,0))</f>
        <v>0</v>
      </c>
      <c r="BA360" s="331">
        <f>+IF($F$10=0,BA425,IF($F$10=30,0,BA425))</f>
        <v>0</v>
      </c>
      <c r="BB360" s="331">
        <f>+IF($F$10=0,BB425,IF($F$10=30,BB425,0))</f>
        <v>0</v>
      </c>
      <c r="BC360" s="331">
        <f>+IF($F$10=0,BC425,0)</f>
        <v>0</v>
      </c>
      <c r="BD360" s="331">
        <f>+BD425</f>
        <v>0</v>
      </c>
      <c r="BE360" s="331">
        <f>+IF($F$10=0,BE425,0)</f>
        <v>0</v>
      </c>
      <c r="BF360" s="331">
        <f>+IF($F$10=0,BF425,IF($F$10=30,BF425,0))</f>
        <v>0</v>
      </c>
      <c r="BG360" s="331">
        <f>+IF($F$10=0,BG425,IF($F$10=30,0,BG425))</f>
        <v>0</v>
      </c>
      <c r="BH360" s="331">
        <f>+IF($F$10=0,BH425,IF($F$10=30,BH425,0))</f>
        <v>0</v>
      </c>
      <c r="BI360" s="331">
        <f>+IF($F$10=0,BI425,0)</f>
        <v>0</v>
      </c>
      <c r="BJ360" s="331">
        <f>+BJ425</f>
        <v>0</v>
      </c>
      <c r="BK360" s="331">
        <f>+IF($F$10=0,BK425,0)</f>
        <v>0</v>
      </c>
      <c r="BL360" s="331">
        <f>+IF($F$10=0,BL425,IF($F$10=30,BL425,0))</f>
        <v>0</v>
      </c>
      <c r="BM360" s="331">
        <f>+IF($F$10=0,BM425,IF($F$10=30,0,BM425))</f>
        <v>0</v>
      </c>
      <c r="BN360" s="331"/>
      <c r="BO360" s="331"/>
      <c r="BP360" s="331"/>
      <c r="BQ360" s="331"/>
      <c r="BR360" s="331"/>
      <c r="BS360" s="331"/>
      <c r="BT360" s="331"/>
      <c r="BU360" s="331"/>
      <c r="BV360" s="331"/>
      <c r="BW360" s="331"/>
      <c r="BX360" s="331"/>
      <c r="BY360" s="331"/>
      <c r="BZ360" s="331"/>
      <c r="CA360" s="331"/>
      <c r="CB360" s="331"/>
      <c r="CC360" s="331"/>
      <c r="CD360" s="331"/>
      <c r="CE360" s="331"/>
      <c r="CF360" s="331"/>
      <c r="CG360" s="331"/>
    </row>
    <row r="361" spans="5:86" ht="15.75">
      <c r="E361" s="416">
        <f t="shared" si="207"/>
        <v>44117</v>
      </c>
      <c r="F361" s="331"/>
      <c r="G361" s="331"/>
      <c r="H361" s="331"/>
      <c r="I361" s="331"/>
      <c r="J361" s="331"/>
      <c r="K361" s="331"/>
      <c r="L361" s="331"/>
      <c r="M361" s="331"/>
      <c r="N361" s="331"/>
      <c r="O361" s="331"/>
      <c r="P361" s="331"/>
      <c r="Q361" s="331"/>
      <c r="R361" s="331"/>
      <c r="S361" s="331"/>
      <c r="T361" s="331"/>
      <c r="U361" s="331"/>
      <c r="V361" s="331"/>
      <c r="W361" s="331"/>
      <c r="X361" s="331"/>
      <c r="Y361" s="331"/>
      <c r="Z361" s="331"/>
      <c r="AA361" s="331">
        <f>+AA426</f>
        <v>0</v>
      </c>
      <c r="AB361" s="331">
        <f>+IF($F$10=0,AB426,0)</f>
        <v>0</v>
      </c>
      <c r="AC361" s="331">
        <f>+IF($F$10=0,AC426,IF($F$10=30,AC426,0))</f>
        <v>0</v>
      </c>
      <c r="AD361" s="331">
        <f>+IF($F$10=0,AD426,IF($F$10=30,0,AD426))</f>
        <v>0</v>
      </c>
      <c r="AE361" s="331">
        <f>+IF($F$10=0,AE426,IF($F$10=30,AE426,0))</f>
        <v>0</v>
      </c>
      <c r="AF361" s="331">
        <f>+IF($F$10=0,AF426,0)</f>
        <v>0</v>
      </c>
      <c r="AG361" s="331">
        <f>+AG426</f>
        <v>0</v>
      </c>
      <c r="AH361" s="331">
        <f>+IF($F$10=0,AH426,0)</f>
        <v>0</v>
      </c>
      <c r="AI361" s="331">
        <f>+IF($F$10=0,AI426,IF($F$10=30,AI426,0))</f>
        <v>0</v>
      </c>
      <c r="AJ361" s="331">
        <f>+IF($F$10=0,AJ426,IF($F$10=30,0,AJ426))</f>
        <v>0</v>
      </c>
      <c r="AK361" s="331">
        <f>+IF($F$10=0,AK426,IF($F$10=30,AK426,0))</f>
        <v>0</v>
      </c>
      <c r="AL361" s="331">
        <f>+IF($F$10=0,AL426,0)</f>
        <v>0</v>
      </c>
      <c r="AM361" s="331">
        <f>+AM426</f>
        <v>0</v>
      </c>
      <c r="AN361" s="331">
        <f>+IF($F$10=0,AN426,0)</f>
        <v>0</v>
      </c>
      <c r="AO361" s="331">
        <f>+IF($F$10=0,AO426,IF($F$10=30,AO426,0))</f>
        <v>0</v>
      </c>
      <c r="AP361" s="331">
        <f>+IF($F$10=0,AP426,IF($F$10=30,0,AP426))</f>
        <v>0</v>
      </c>
      <c r="AQ361" s="331">
        <f>+IF($F$10=0,AQ426,IF($F$10=30,AQ426,0))</f>
        <v>0</v>
      </c>
      <c r="AR361" s="331">
        <f>+IF($F$10=0,AR426,0)</f>
        <v>0</v>
      </c>
      <c r="AS361" s="331">
        <f>+AS426</f>
        <v>0</v>
      </c>
      <c r="AT361" s="331">
        <f>+IF($F$10=0,AT426,0)</f>
        <v>0</v>
      </c>
      <c r="AU361" s="331">
        <f>+IF($F$10=0,AU426,IF($F$10=30,AU426,0))</f>
        <v>0</v>
      </c>
      <c r="AV361" s="331">
        <f>+IF($F$10=0,AV426,IF($F$10=30,0,AV426))</f>
        <v>0</v>
      </c>
      <c r="AW361" s="331">
        <f>+IF($F$10=0,AW426,IF($F$10=30,AW426,0))</f>
        <v>0</v>
      </c>
      <c r="AX361" s="331">
        <f>+IF($F$10=0,AX426,0)</f>
        <v>0</v>
      </c>
      <c r="AY361" s="331">
        <f>+AY426</f>
        <v>0</v>
      </c>
      <c r="AZ361" s="331">
        <f>+IF($F$10=0,AZ426,0)</f>
        <v>0</v>
      </c>
      <c r="BA361" s="331">
        <f>+IF($F$10=0,BA426,IF($F$10=30,BA426,0))</f>
        <v>0</v>
      </c>
      <c r="BB361" s="331">
        <f>+IF($F$10=0,BB426,IF($F$10=30,0,BB426))</f>
        <v>0</v>
      </c>
      <c r="BC361" s="331">
        <f>+IF($F$10=0,BC426,IF($F$10=30,BC426,0))</f>
        <v>0</v>
      </c>
      <c r="BD361" s="331">
        <f>+IF($F$10=0,BD426,0)</f>
        <v>0</v>
      </c>
      <c r="BE361" s="331">
        <f>+BE426</f>
        <v>0</v>
      </c>
      <c r="BF361" s="331">
        <f>+IF($F$10=0,BF426,0)</f>
        <v>0</v>
      </c>
      <c r="BG361" s="331">
        <f>+IF($F$10=0,BG426,IF($F$10=30,BG426,0))</f>
        <v>0</v>
      </c>
      <c r="BH361" s="331">
        <f>+IF($F$10=0,BH426,IF($F$10=30,0,BH426))</f>
        <v>0</v>
      </c>
      <c r="BI361" s="331">
        <f>+IF($F$10=0,BI426,IF($F$10=30,BI426,0))</f>
        <v>0</v>
      </c>
      <c r="BJ361" s="331">
        <f>+IF($F$10=0,BJ426,0)</f>
        <v>0</v>
      </c>
      <c r="BK361" s="331">
        <f>+BK426</f>
        <v>0</v>
      </c>
      <c r="BL361" s="331">
        <f>+IF($F$10=0,BL426,0)</f>
        <v>0</v>
      </c>
      <c r="BM361" s="331">
        <f>+IF($F$10=0,BM426,IF($F$10=30,BM426,0))</f>
        <v>0</v>
      </c>
      <c r="BN361" s="331"/>
      <c r="BO361" s="331"/>
      <c r="BP361" s="331"/>
      <c r="BQ361" s="331"/>
      <c r="BR361" s="331"/>
      <c r="BS361" s="331"/>
      <c r="BT361" s="331"/>
      <c r="BU361" s="331"/>
      <c r="BV361" s="331"/>
      <c r="BW361" s="331"/>
      <c r="BX361" s="331"/>
      <c r="BY361" s="331"/>
      <c r="BZ361" s="331"/>
      <c r="CA361" s="331"/>
      <c r="CB361" s="331"/>
      <c r="CC361" s="331"/>
      <c r="CD361" s="331"/>
      <c r="CE361" s="331"/>
      <c r="CF361" s="331"/>
      <c r="CG361" s="331"/>
      <c r="CH361" s="331"/>
    </row>
    <row r="362" spans="5:87" ht="15.75">
      <c r="E362" s="416">
        <f t="shared" si="207"/>
        <v>44148</v>
      </c>
      <c r="F362" s="331"/>
      <c r="G362" s="331"/>
      <c r="H362" s="331"/>
      <c r="I362" s="331"/>
      <c r="J362" s="331"/>
      <c r="K362" s="331"/>
      <c r="L362" s="331"/>
      <c r="M362" s="331"/>
      <c r="N362" s="331"/>
      <c r="O362" s="331"/>
      <c r="P362" s="331"/>
      <c r="Q362" s="331"/>
      <c r="R362" s="331"/>
      <c r="S362" s="331"/>
      <c r="T362" s="331"/>
      <c r="U362" s="331"/>
      <c r="V362" s="331"/>
      <c r="W362" s="331"/>
      <c r="X362" s="331"/>
      <c r="Y362" s="331"/>
      <c r="Z362" s="331"/>
      <c r="AA362" s="331"/>
      <c r="AB362" s="331">
        <f>+AB427</f>
        <v>0</v>
      </c>
      <c r="AC362" s="331">
        <f>+IF($F$10=0,AC427,0)</f>
        <v>0</v>
      </c>
      <c r="AD362" s="331">
        <f>+IF($F$10=0,AD427,IF($F$10=30,AD427,0))</f>
        <v>0</v>
      </c>
      <c r="AE362" s="331">
        <f>+IF($F$10=0,AE427,IF($F$10=30,0,AE427))</f>
        <v>0</v>
      </c>
      <c r="AF362" s="331">
        <f>+IF($F$10=0,AF427,IF($F$10=30,AF427,0))</f>
        <v>0</v>
      </c>
      <c r="AG362" s="331">
        <f>+IF($F$10=0,AG427,0)</f>
        <v>0</v>
      </c>
      <c r="AH362" s="331">
        <f>+AH427</f>
        <v>0</v>
      </c>
      <c r="AI362" s="331">
        <f>+IF($F$10=0,AI427,0)</f>
        <v>0</v>
      </c>
      <c r="AJ362" s="331">
        <f>+IF($F$10=0,AJ427,IF($F$10=30,AJ427,0))</f>
        <v>0</v>
      </c>
      <c r="AK362" s="331">
        <f>+IF($F$10=0,AK427,IF($F$10=30,0,AK427))</f>
        <v>0</v>
      </c>
      <c r="AL362" s="331">
        <f>+IF($F$10=0,AL427,IF($F$10=30,AL427,0))</f>
        <v>0</v>
      </c>
      <c r="AM362" s="331">
        <f>+IF($F$10=0,AM427,0)</f>
        <v>0</v>
      </c>
      <c r="AN362" s="331">
        <f>+AN427</f>
        <v>0</v>
      </c>
      <c r="AO362" s="331">
        <f>+IF($F$10=0,AO427,0)</f>
        <v>0</v>
      </c>
      <c r="AP362" s="331">
        <f>+IF($F$10=0,AP427,IF($F$10=30,AP427,0))</f>
        <v>0</v>
      </c>
      <c r="AQ362" s="331">
        <f>+IF($F$10=0,AQ427,IF($F$10=30,0,AQ427))</f>
        <v>0</v>
      </c>
      <c r="AR362" s="331">
        <f>+IF($F$10=0,AR427,IF($F$10=30,AR427,0))</f>
        <v>0</v>
      </c>
      <c r="AS362" s="331">
        <f>+IF($F$10=0,AS427,0)</f>
        <v>0</v>
      </c>
      <c r="AT362" s="331">
        <f>+AT427</f>
        <v>0</v>
      </c>
      <c r="AU362" s="331">
        <f>+IF($F$10=0,AU427,0)</f>
        <v>0</v>
      </c>
      <c r="AV362" s="331">
        <f>+IF($F$10=0,AV427,IF($F$10=30,AV427,0))</f>
        <v>0</v>
      </c>
      <c r="AW362" s="331">
        <f>+IF($F$10=0,AW427,IF($F$10=30,0,AW427))</f>
        <v>0</v>
      </c>
      <c r="AX362" s="331">
        <f>+IF($F$10=0,AX427,IF($F$10=30,AX427,0))</f>
        <v>0</v>
      </c>
      <c r="AY362" s="331">
        <f>+IF($F$10=0,AY427,0)</f>
        <v>0</v>
      </c>
      <c r="AZ362" s="331">
        <f>+AZ427</f>
        <v>0</v>
      </c>
      <c r="BA362" s="331">
        <f>+IF($F$10=0,BA427,0)</f>
        <v>0</v>
      </c>
      <c r="BB362" s="331">
        <f>+IF($F$10=0,BB427,IF($F$10=30,BB427,0))</f>
        <v>0</v>
      </c>
      <c r="BC362" s="331">
        <f>+IF($F$10=0,BC427,IF($F$10=30,0,BC427))</f>
        <v>0</v>
      </c>
      <c r="BD362" s="331">
        <f>+IF($F$10=0,BD427,IF($F$10=30,BD427,0))</f>
        <v>0</v>
      </c>
      <c r="BE362" s="331">
        <f>+IF($F$10=0,BE427,0)</f>
        <v>0</v>
      </c>
      <c r="BF362" s="331">
        <f>+BF427</f>
        <v>0</v>
      </c>
      <c r="BG362" s="331">
        <f>+IF($F$10=0,BG427,0)</f>
        <v>0</v>
      </c>
      <c r="BH362" s="331">
        <f>+IF($F$10=0,BH427,IF($F$10=30,BH427,0))</f>
        <v>0</v>
      </c>
      <c r="BI362" s="331">
        <f>+IF($F$10=0,BI427,IF($F$10=30,0,BI427))</f>
        <v>0</v>
      </c>
      <c r="BJ362" s="331">
        <f>+IF($F$10=0,BJ427,IF($F$10=30,BJ427,0))</f>
        <v>0</v>
      </c>
      <c r="BK362" s="331">
        <f>+IF($F$10=0,BK427,0)</f>
        <v>0</v>
      </c>
      <c r="BL362" s="331">
        <f>+BL427</f>
        <v>0</v>
      </c>
      <c r="BM362" s="331">
        <f>+IF($F$10=0,BM427,0)</f>
        <v>0</v>
      </c>
      <c r="BN362" s="331"/>
      <c r="BO362" s="331"/>
      <c r="BP362" s="331"/>
      <c r="BQ362" s="331"/>
      <c r="BR362" s="331"/>
      <c r="BS362" s="331"/>
      <c r="BT362" s="331"/>
      <c r="BU362" s="331"/>
      <c r="BV362" s="331"/>
      <c r="BW362" s="331"/>
      <c r="BX362" s="331"/>
      <c r="BY362" s="331"/>
      <c r="BZ362" s="331"/>
      <c r="CA362" s="331"/>
      <c r="CB362" s="331"/>
      <c r="CC362" s="331"/>
      <c r="CD362" s="331"/>
      <c r="CE362" s="331"/>
      <c r="CF362" s="331"/>
      <c r="CG362" s="331"/>
      <c r="CH362" s="331"/>
      <c r="CI362" s="331"/>
    </row>
    <row r="363" spans="5:88" ht="15.75">
      <c r="E363" s="416">
        <f t="shared" si="207"/>
        <v>44179</v>
      </c>
      <c r="F363" s="331"/>
      <c r="G363" s="331"/>
      <c r="H363" s="331"/>
      <c r="I363" s="331"/>
      <c r="J363" s="331"/>
      <c r="K363" s="331"/>
      <c r="L363" s="331"/>
      <c r="M363" s="331"/>
      <c r="N363" s="331"/>
      <c r="O363" s="331"/>
      <c r="P363" s="331"/>
      <c r="Q363" s="331"/>
      <c r="R363" s="331"/>
      <c r="S363" s="331"/>
      <c r="T363" s="331"/>
      <c r="U363" s="331"/>
      <c r="V363" s="331"/>
      <c r="W363" s="331"/>
      <c r="X363" s="331"/>
      <c r="Y363" s="331"/>
      <c r="Z363" s="331"/>
      <c r="AA363" s="331"/>
      <c r="AB363" s="331"/>
      <c r="AC363" s="331">
        <f>+AC428</f>
        <v>0</v>
      </c>
      <c r="AD363" s="331">
        <f>+IF($F$10=0,AD428,0)</f>
        <v>0</v>
      </c>
      <c r="AE363" s="331">
        <f>+IF($F$10=0,AE428,IF($F$10=30,AE428,0))</f>
        <v>0</v>
      </c>
      <c r="AF363" s="331">
        <f>+IF($F$10=0,AF428,IF($F$10=30,0,AF428))</f>
        <v>0</v>
      </c>
      <c r="AG363" s="331">
        <f>+IF($F$10=0,AG428,IF($F$10=30,AG428,0))</f>
        <v>0</v>
      </c>
      <c r="AH363" s="331">
        <f>+IF($F$10=0,AH428,0)</f>
        <v>0</v>
      </c>
      <c r="AI363" s="331">
        <f>+AI428</f>
        <v>0</v>
      </c>
      <c r="AJ363" s="331">
        <f>+IF($F$10=0,AJ428,0)</f>
        <v>0</v>
      </c>
      <c r="AK363" s="331">
        <f>+IF($F$10=0,AK428,IF($F$10=30,AK428,0))</f>
        <v>0</v>
      </c>
      <c r="AL363" s="331">
        <f>+IF($F$10=0,AL428,IF($F$10=30,0,AL428))</f>
        <v>0</v>
      </c>
      <c r="AM363" s="331">
        <f>+IF($F$10=0,AM428,IF($F$10=30,AM428,0))</f>
        <v>0</v>
      </c>
      <c r="AN363" s="331">
        <f>+IF($F$10=0,AN428,0)</f>
        <v>0</v>
      </c>
      <c r="AO363" s="331">
        <f>+AO428</f>
        <v>0</v>
      </c>
      <c r="AP363" s="331">
        <f>+IF($F$10=0,AP428,0)</f>
        <v>0</v>
      </c>
      <c r="AQ363" s="331">
        <f>+IF($F$10=0,AQ428,IF($F$10=30,AQ428,0))</f>
        <v>0</v>
      </c>
      <c r="AR363" s="331">
        <f>+IF($F$10=0,AR428,IF($F$10=30,0,AR428))</f>
        <v>0</v>
      </c>
      <c r="AS363" s="331">
        <f>+IF($F$10=0,AS428,IF($F$10=30,AS428,0))</f>
        <v>0</v>
      </c>
      <c r="AT363" s="331">
        <f>+IF($F$10=0,AT428,0)</f>
        <v>0</v>
      </c>
      <c r="AU363" s="331">
        <f>+AU428</f>
        <v>0</v>
      </c>
      <c r="AV363" s="331">
        <f>+IF($F$10=0,AV428,0)</f>
        <v>0</v>
      </c>
      <c r="AW363" s="331">
        <f>+IF($F$10=0,AW428,IF($F$10=30,AW428,0))</f>
        <v>0</v>
      </c>
      <c r="AX363" s="331">
        <f>+IF($F$10=0,AX428,IF($F$10=30,0,AX428))</f>
        <v>0</v>
      </c>
      <c r="AY363" s="331">
        <f>+IF($F$10=0,AY428,IF($F$10=30,AY428,0))</f>
        <v>0</v>
      </c>
      <c r="AZ363" s="331">
        <f>+IF($F$10=0,AZ428,0)</f>
        <v>0</v>
      </c>
      <c r="BA363" s="331">
        <f>+BA428</f>
        <v>0</v>
      </c>
      <c r="BB363" s="331">
        <f>+IF($F$10=0,BB428,0)</f>
        <v>0</v>
      </c>
      <c r="BC363" s="331">
        <f>+IF($F$10=0,BC428,IF($F$10=30,BC428,0))</f>
        <v>0</v>
      </c>
      <c r="BD363" s="331">
        <f>+IF($F$10=0,BD428,IF($F$10=30,0,BD428))</f>
        <v>0</v>
      </c>
      <c r="BE363" s="331">
        <f>+IF($F$10=0,BE428,IF($F$10=30,BE428,0))</f>
        <v>0</v>
      </c>
      <c r="BF363" s="331">
        <f>+IF($F$10=0,BF428,0)</f>
        <v>0</v>
      </c>
      <c r="BG363" s="331">
        <f>+BG428</f>
        <v>0</v>
      </c>
      <c r="BH363" s="331">
        <f>+IF($F$10=0,BH428,0)</f>
        <v>0</v>
      </c>
      <c r="BI363" s="331">
        <f>+IF($F$10=0,BI428,IF($F$10=30,BI428,0))</f>
        <v>0</v>
      </c>
      <c r="BJ363" s="331">
        <f>+IF($F$10=0,BJ428,IF($F$10=30,0,BJ428))</f>
        <v>0</v>
      </c>
      <c r="BK363" s="331">
        <f>+IF($F$10=0,BK428,IF($F$10=30,BK428,0))</f>
        <v>0</v>
      </c>
      <c r="BL363" s="331">
        <f>+IF($F$10=0,BL428,0)</f>
        <v>0</v>
      </c>
      <c r="BM363" s="331">
        <f>+BM428</f>
        <v>0</v>
      </c>
      <c r="BN363" s="331"/>
      <c r="BO363" s="331"/>
      <c r="BP363" s="331"/>
      <c r="BQ363" s="331"/>
      <c r="BR363" s="331"/>
      <c r="BS363" s="331"/>
      <c r="BT363" s="331"/>
      <c r="BU363" s="331"/>
      <c r="BV363" s="331"/>
      <c r="BW363" s="331"/>
      <c r="BX363" s="331"/>
      <c r="BY363" s="331"/>
      <c r="BZ363" s="331"/>
      <c r="CA363" s="331"/>
      <c r="CB363" s="331"/>
      <c r="CC363" s="331"/>
      <c r="CD363" s="331"/>
      <c r="CE363" s="331"/>
      <c r="CF363" s="331"/>
      <c r="CG363" s="331"/>
      <c r="CH363" s="331"/>
      <c r="CI363" s="331"/>
      <c r="CJ363" s="331"/>
    </row>
    <row r="364" spans="5:89" ht="15.75">
      <c r="E364" s="416">
        <f t="shared" si="207"/>
        <v>44210</v>
      </c>
      <c r="F364" s="331"/>
      <c r="K364" s="331"/>
      <c r="M364" s="331"/>
      <c r="Y364" s="331"/>
      <c r="Z364" s="331"/>
      <c r="AA364" s="331"/>
      <c r="AB364" s="331"/>
      <c r="AC364" s="331"/>
      <c r="AD364" s="331">
        <f>+AD429</f>
        <v>0</v>
      </c>
      <c r="AE364" s="331">
        <f>+IF($F$10=0,AE429,0)</f>
        <v>0</v>
      </c>
      <c r="AF364" s="331">
        <f>+IF($F$10=0,AF429,IF($F$10=30,AF429,0))</f>
        <v>0</v>
      </c>
      <c r="AG364" s="331">
        <f>+IF($F$10=0,AG429,IF($F$10=30,0,AG429))</f>
        <v>0</v>
      </c>
      <c r="AH364" s="331">
        <f>+IF($F$10=0,AH429,IF($F$10=30,AH429,0))</f>
        <v>0</v>
      </c>
      <c r="AI364" s="331">
        <f>+IF($F$10=0,AI429,0)</f>
        <v>0</v>
      </c>
      <c r="AJ364" s="331">
        <f>+AJ429</f>
        <v>0</v>
      </c>
      <c r="AK364" s="331">
        <f>+IF($F$10=0,AK429,0)</f>
        <v>0</v>
      </c>
      <c r="AL364" s="331">
        <f>+IF($F$10=0,AL429,IF($F$10=30,AL429,0))</f>
        <v>0</v>
      </c>
      <c r="AM364" s="331">
        <f>+IF($F$10=0,AM429,IF($F$10=30,0,AM429))</f>
        <v>0</v>
      </c>
      <c r="AN364" s="331">
        <f>+IF($F$10=0,AN429,IF($F$10=30,AN429,0))</f>
        <v>0</v>
      </c>
      <c r="AO364" s="331">
        <f>+IF($F$10=0,AO429,0)</f>
        <v>0</v>
      </c>
      <c r="AP364" s="331">
        <f>+AP429</f>
        <v>0</v>
      </c>
      <c r="AQ364" s="331">
        <f>+IF($F$10=0,AQ429,0)</f>
        <v>0</v>
      </c>
      <c r="AR364" s="331">
        <f>+IF($F$10=0,AR429,IF($F$10=30,AR429,0))</f>
        <v>0</v>
      </c>
      <c r="AS364" s="331">
        <f>+IF($F$10=0,AS429,IF($F$10=30,0,AS429))</f>
        <v>0</v>
      </c>
      <c r="AT364" s="331">
        <f>+IF($F$10=0,AT429,IF($F$10=30,AT429,0))</f>
        <v>0</v>
      </c>
      <c r="AU364" s="331">
        <f>+IF($F$10=0,AU429,0)</f>
        <v>0</v>
      </c>
      <c r="AV364" s="331">
        <f>+AV429</f>
        <v>0</v>
      </c>
      <c r="AW364" s="331">
        <f>+IF($F$10=0,AW429,0)</f>
        <v>0</v>
      </c>
      <c r="AX364" s="331">
        <f>+IF($F$10=0,AX429,IF($F$10=30,AX429,0))</f>
        <v>0</v>
      </c>
      <c r="AY364" s="331">
        <f>+IF($F$10=0,AY429,IF($F$10=30,0,AY429))</f>
        <v>0</v>
      </c>
      <c r="AZ364" s="331">
        <f>+IF($F$10=0,AZ429,IF($F$10=30,AZ429,0))</f>
        <v>0</v>
      </c>
      <c r="BA364" s="331">
        <f>+IF($F$10=0,BA429,0)</f>
        <v>0</v>
      </c>
      <c r="BB364" s="331">
        <f>+BB429</f>
        <v>0</v>
      </c>
      <c r="BC364" s="331">
        <f>+IF($F$10=0,BC429,0)</f>
        <v>0</v>
      </c>
      <c r="BD364" s="331">
        <f>+IF($F$10=0,BD429,IF($F$10=30,BD429,0))</f>
        <v>0</v>
      </c>
      <c r="BE364" s="331">
        <f>+IF($F$10=0,BE429,IF($F$10=30,0,BE429))</f>
        <v>0</v>
      </c>
      <c r="BF364" s="331">
        <f>+IF($F$10=0,BF429,IF($F$10=30,BF429,0))</f>
        <v>0</v>
      </c>
      <c r="BG364" s="331">
        <f>+IF($F$10=0,BG429,0)</f>
        <v>0</v>
      </c>
      <c r="BH364" s="331">
        <f>+BH429</f>
        <v>0</v>
      </c>
      <c r="BI364" s="331">
        <f>+IF($F$10=0,BI429,0)</f>
        <v>0</v>
      </c>
      <c r="BJ364" s="331">
        <f>+IF($F$10=0,BJ429,IF($F$10=30,BJ429,0))</f>
        <v>0</v>
      </c>
      <c r="BK364" s="331">
        <f>+IF($F$10=0,BK429,IF($F$10=30,0,BK429))</f>
        <v>0</v>
      </c>
      <c r="BL364" s="331">
        <f>+IF($F$10=0,BL429,IF($F$10=30,BL429,0))</f>
        <v>0</v>
      </c>
      <c r="BM364" s="331">
        <f>+IF($F$10=0,BM429,0)</f>
        <v>0</v>
      </c>
      <c r="BN364" s="331"/>
      <c r="BO364" s="331"/>
      <c r="BP364" s="331"/>
      <c r="BQ364" s="331"/>
      <c r="BR364" s="331"/>
      <c r="BS364" s="331"/>
      <c r="BT364" s="331"/>
      <c r="BU364" s="331"/>
      <c r="BV364" s="331"/>
      <c r="BW364" s="331"/>
      <c r="BX364" s="331"/>
      <c r="BY364" s="331"/>
      <c r="BZ364" s="331"/>
      <c r="CA364" s="331"/>
      <c r="CB364" s="331"/>
      <c r="CC364" s="331"/>
      <c r="CD364" s="331"/>
      <c r="CE364" s="331"/>
      <c r="CF364" s="331"/>
      <c r="CG364" s="331"/>
      <c r="CH364" s="331"/>
      <c r="CI364" s="331"/>
      <c r="CJ364" s="331"/>
      <c r="CK364" s="331"/>
    </row>
    <row r="365" spans="5:90" ht="15.75">
      <c r="E365" s="416">
        <f t="shared" si="207"/>
        <v>44241</v>
      </c>
      <c r="F365" s="331"/>
      <c r="K365" s="331"/>
      <c r="M365" s="331"/>
      <c r="Y365" s="331"/>
      <c r="Z365" s="331"/>
      <c r="AA365" s="331"/>
      <c r="AB365" s="331"/>
      <c r="AC365" s="331"/>
      <c r="AD365" s="331"/>
      <c r="AE365" s="331">
        <f>+AE430</f>
        <v>0</v>
      </c>
      <c r="AF365" s="331">
        <f>+IF($F$10=0,AF430,0)</f>
        <v>0</v>
      </c>
      <c r="AG365" s="331">
        <f>+IF($F$10=0,AG430,IF($F$10=30,AG430,0))</f>
        <v>0</v>
      </c>
      <c r="AH365" s="331">
        <f>+IF($F$10=0,AH430,IF($F$10=30,0,AH430))</f>
        <v>0</v>
      </c>
      <c r="AI365" s="331">
        <f>+IF($F$10=0,AI430,IF($F$10=30,AI430,0))</f>
        <v>0</v>
      </c>
      <c r="AJ365" s="331">
        <f>+IF($F$10=0,AJ430,0)</f>
        <v>0</v>
      </c>
      <c r="AK365" s="331">
        <f>+AK430</f>
        <v>0</v>
      </c>
      <c r="AL365" s="331">
        <f>+IF($F$10=0,AL430,0)</f>
        <v>0</v>
      </c>
      <c r="AM365" s="331">
        <f>+IF($F$10=0,AM430,IF($F$10=30,AM430,0))</f>
        <v>0</v>
      </c>
      <c r="AN365" s="331">
        <f>+IF($F$10=0,AN430,IF($F$10=30,0,AN430))</f>
        <v>0</v>
      </c>
      <c r="AO365" s="331">
        <f>+IF($F$10=0,AO430,IF($F$10=30,AO430,0))</f>
        <v>0</v>
      </c>
      <c r="AP365" s="331">
        <f>+IF($F$10=0,AP430,0)</f>
        <v>0</v>
      </c>
      <c r="AQ365" s="331">
        <f>+AQ430</f>
        <v>0</v>
      </c>
      <c r="AR365" s="331">
        <f>+IF($F$10=0,AR430,0)</f>
        <v>0</v>
      </c>
      <c r="AS365" s="331">
        <f>+IF($F$10=0,AS430,IF($F$10=30,AS430,0))</f>
        <v>0</v>
      </c>
      <c r="AT365" s="331">
        <f>+IF($F$10=0,AT430,IF($F$10=30,0,AT430))</f>
        <v>0</v>
      </c>
      <c r="AU365" s="331">
        <f>+IF($F$10=0,AU430,IF($F$10=30,AU430,0))</f>
        <v>0</v>
      </c>
      <c r="AV365" s="331">
        <f>+IF($F$10=0,AV430,0)</f>
        <v>0</v>
      </c>
      <c r="AW365" s="331">
        <f>+AW430</f>
        <v>0</v>
      </c>
      <c r="AX365" s="331">
        <f>+IF($F$10=0,AX430,0)</f>
        <v>0</v>
      </c>
      <c r="AY365" s="331">
        <f>+IF($F$10=0,AY430,IF($F$10=30,AY430,0))</f>
        <v>0</v>
      </c>
      <c r="AZ365" s="331">
        <f>+IF($F$10=0,AZ430,IF($F$10=30,0,AZ430))</f>
        <v>0</v>
      </c>
      <c r="BA365" s="331">
        <f>+IF($F$10=0,BA430,IF($F$10=30,BA430,0))</f>
        <v>0</v>
      </c>
      <c r="BB365" s="331">
        <f>+IF($F$10=0,BB430,0)</f>
        <v>0</v>
      </c>
      <c r="BC365" s="331">
        <f>+BC430</f>
        <v>0</v>
      </c>
      <c r="BD365" s="331">
        <f>+IF($F$10=0,BD430,0)</f>
        <v>0</v>
      </c>
      <c r="BE365" s="331">
        <f>+IF($F$10=0,BE430,IF($F$10=30,BE430,0))</f>
        <v>0</v>
      </c>
      <c r="BF365" s="331">
        <f>+IF($F$10=0,BF430,IF($F$10=30,0,BF430))</f>
        <v>0</v>
      </c>
      <c r="BG365" s="331">
        <f>+IF($F$10=0,BG430,IF($F$10=30,BG430,0))</f>
        <v>0</v>
      </c>
      <c r="BH365" s="331">
        <f>+IF($F$10=0,BH430,0)</f>
        <v>0</v>
      </c>
      <c r="BI365" s="331">
        <f>+BI430</f>
        <v>0</v>
      </c>
      <c r="BJ365" s="331">
        <f>+IF($F$10=0,BJ430,0)</f>
        <v>0</v>
      </c>
      <c r="BK365" s="331">
        <f>+IF($F$10=0,BK430,IF($F$10=30,BK430,0))</f>
        <v>0</v>
      </c>
      <c r="BL365" s="331">
        <f>+IF($F$10=0,BL430,IF($F$10=30,0,BL430))</f>
        <v>0</v>
      </c>
      <c r="BM365" s="331">
        <f>+IF($F$10=0,BM430,IF($F$10=30,BM430,0))</f>
        <v>0</v>
      </c>
      <c r="BN365" s="331"/>
      <c r="BO365" s="331"/>
      <c r="BP365" s="331"/>
      <c r="BQ365" s="331"/>
      <c r="BR365" s="331"/>
      <c r="BS365" s="331"/>
      <c r="BT365" s="331"/>
      <c r="BU365" s="331"/>
      <c r="BV365" s="331"/>
      <c r="BW365" s="331"/>
      <c r="BX365" s="331"/>
      <c r="BY365" s="331"/>
      <c r="BZ365" s="331"/>
      <c r="CA365" s="331"/>
      <c r="CB365" s="331"/>
      <c r="CC365" s="331"/>
      <c r="CD365" s="331"/>
      <c r="CE365" s="331"/>
      <c r="CF365" s="331"/>
      <c r="CG365" s="331"/>
      <c r="CH365" s="331"/>
      <c r="CI365" s="331"/>
      <c r="CJ365" s="331"/>
      <c r="CK365" s="331"/>
      <c r="CL365" s="331"/>
    </row>
    <row r="366" spans="5:91" ht="15.75">
      <c r="E366" s="416">
        <f t="shared" si="207"/>
        <v>44272</v>
      </c>
      <c r="F366" s="331"/>
      <c r="K366" s="331"/>
      <c r="M366" s="331"/>
      <c r="Y366" s="331"/>
      <c r="Z366" s="331"/>
      <c r="AA366" s="331"/>
      <c r="AB366" s="331"/>
      <c r="AC366" s="331"/>
      <c r="AD366" s="331"/>
      <c r="AE366" s="331"/>
      <c r="AF366" s="331">
        <f>+AF431</f>
        <v>0</v>
      </c>
      <c r="AG366" s="331">
        <f>+IF($F$10=0,AG431,0)</f>
        <v>0</v>
      </c>
      <c r="AH366" s="331">
        <f>+IF($F$10=0,AH431,IF($F$10=30,AH431,0))</f>
        <v>0</v>
      </c>
      <c r="AI366" s="331">
        <f>+IF($F$10=0,AI431,IF($F$10=30,0,AI431))</f>
        <v>0</v>
      </c>
      <c r="AJ366" s="331">
        <f>+IF($F$10=0,AJ431,IF($F$10=30,AJ431,0))</f>
        <v>0</v>
      </c>
      <c r="AK366" s="331">
        <f>+IF($F$10=0,AK431,0)</f>
        <v>0</v>
      </c>
      <c r="AL366" s="331">
        <f>+AL431</f>
        <v>0</v>
      </c>
      <c r="AM366" s="331">
        <f>+IF($F$10=0,AM431,0)</f>
        <v>0</v>
      </c>
      <c r="AN366" s="331">
        <f>+IF($F$10=0,AN431,IF($F$10=30,AN431,0))</f>
        <v>0</v>
      </c>
      <c r="AO366" s="331">
        <f>+IF($F$10=0,AO431,IF($F$10=30,0,AO431))</f>
        <v>0</v>
      </c>
      <c r="AP366" s="331">
        <f>+IF($F$10=0,AP431,IF($F$10=30,AP431,0))</f>
        <v>0</v>
      </c>
      <c r="AQ366" s="331">
        <f>+IF($F$10=0,AQ431,0)</f>
        <v>0</v>
      </c>
      <c r="AR366" s="331">
        <f>+AR431</f>
        <v>0</v>
      </c>
      <c r="AS366" s="331">
        <f>+IF($F$10=0,AS431,0)</f>
        <v>0</v>
      </c>
      <c r="AT366" s="331">
        <f>+IF($F$10=0,AT431,IF($F$10=30,AT431,0))</f>
        <v>0</v>
      </c>
      <c r="AU366" s="331">
        <f>+IF($F$10=0,AU431,IF($F$10=30,0,AU431))</f>
        <v>0</v>
      </c>
      <c r="AV366" s="331">
        <f>+IF($F$10=0,AV431,IF($F$10=30,AV431,0))</f>
        <v>0</v>
      </c>
      <c r="AW366" s="331">
        <f>+IF($F$10=0,AW431,0)</f>
        <v>0</v>
      </c>
      <c r="AX366" s="331">
        <f>+AX431</f>
        <v>0</v>
      </c>
      <c r="AY366" s="331">
        <f>+IF($F$10=0,AY431,0)</f>
        <v>0</v>
      </c>
      <c r="AZ366" s="331">
        <f>+IF($F$10=0,AZ431,IF($F$10=30,AZ431,0))</f>
        <v>0</v>
      </c>
      <c r="BA366" s="331">
        <f>+IF($F$10=0,BA431,IF($F$10=30,0,BA431))</f>
        <v>0</v>
      </c>
      <c r="BB366" s="331">
        <f>+IF($F$10=0,BB431,IF($F$10=30,BB431,0))</f>
        <v>0</v>
      </c>
      <c r="BC366" s="331">
        <f>+IF($F$10=0,BC431,0)</f>
        <v>0</v>
      </c>
      <c r="BD366" s="331">
        <f>+BD431</f>
        <v>0</v>
      </c>
      <c r="BE366" s="331">
        <f>+IF($F$10=0,BE431,0)</f>
        <v>0</v>
      </c>
      <c r="BF366" s="331">
        <f>+IF($F$10=0,BF431,IF($F$10=30,BF431,0))</f>
        <v>0</v>
      </c>
      <c r="BG366" s="331">
        <f>+IF($F$10=0,BG431,IF($F$10=30,0,BG431))</f>
        <v>0</v>
      </c>
      <c r="BH366" s="331">
        <f>+IF($F$10=0,BH431,IF($F$10=30,BH431,0))</f>
        <v>0</v>
      </c>
      <c r="BI366" s="331">
        <f>+IF($F$10=0,BI431,0)</f>
        <v>0</v>
      </c>
      <c r="BJ366" s="331">
        <f>+BJ431</f>
        <v>0</v>
      </c>
      <c r="BK366" s="331">
        <f>+IF($F$10=0,BK431,0)</f>
        <v>0</v>
      </c>
      <c r="BL366" s="331">
        <f>+IF($F$10=0,BL431,IF($F$10=30,BL431,0))</f>
        <v>0</v>
      </c>
      <c r="BM366" s="331">
        <f>+IF($F$10=0,BM431,IF($F$10=30,0,BM431))</f>
        <v>0</v>
      </c>
      <c r="BN366" s="331"/>
      <c r="BO366" s="331"/>
      <c r="BP366" s="331"/>
      <c r="BQ366" s="331"/>
      <c r="BR366" s="331"/>
      <c r="BS366" s="331"/>
      <c r="BT366" s="331"/>
      <c r="BU366" s="331"/>
      <c r="BV366" s="331"/>
      <c r="BW366" s="331"/>
      <c r="BX366" s="331"/>
      <c r="BY366" s="331"/>
      <c r="BZ366" s="331"/>
      <c r="CA366" s="331"/>
      <c r="CB366" s="331"/>
      <c r="CC366" s="331"/>
      <c r="CD366" s="331"/>
      <c r="CE366" s="331"/>
      <c r="CF366" s="331"/>
      <c r="CG366" s="331"/>
      <c r="CH366" s="331"/>
      <c r="CI366" s="331"/>
      <c r="CJ366" s="331"/>
      <c r="CK366" s="331"/>
      <c r="CL366" s="331"/>
      <c r="CM366" s="331"/>
    </row>
    <row r="367" spans="5:92" ht="15.75">
      <c r="E367" s="416">
        <f t="shared" si="207"/>
        <v>44303</v>
      </c>
      <c r="F367" s="331"/>
      <c r="K367" s="331"/>
      <c r="M367" s="331"/>
      <c r="Y367" s="331"/>
      <c r="Z367" s="331"/>
      <c r="AA367" s="331"/>
      <c r="AB367" s="331"/>
      <c r="AC367" s="331"/>
      <c r="AD367" s="331"/>
      <c r="AE367" s="331"/>
      <c r="AF367" s="331"/>
      <c r="AG367" s="331">
        <f>+AG432</f>
        <v>0</v>
      </c>
      <c r="AH367" s="331">
        <f>+IF($F$10=0,AH432,0)</f>
        <v>0</v>
      </c>
      <c r="AI367" s="331">
        <f>+IF($F$10=0,AI432,IF($F$10=30,AI432,0))</f>
        <v>0</v>
      </c>
      <c r="AJ367" s="331">
        <f>+IF($F$10=0,AJ432,IF($F$10=30,0,AJ432))</f>
        <v>0</v>
      </c>
      <c r="AK367" s="331">
        <f>+IF($F$10=0,AK432,IF($F$10=30,AK432,0))</f>
        <v>0</v>
      </c>
      <c r="AL367" s="331">
        <f>+IF($F$10=0,AL432,0)</f>
        <v>0</v>
      </c>
      <c r="AM367" s="331">
        <f>+AM432</f>
        <v>0</v>
      </c>
      <c r="AN367" s="331">
        <f>+IF($F$10=0,AN432,0)</f>
        <v>0</v>
      </c>
      <c r="AO367" s="331">
        <f>+IF($F$10=0,AO432,IF($F$10=30,AO432,0))</f>
        <v>0</v>
      </c>
      <c r="AP367" s="331">
        <f>+IF($F$10=0,AP432,IF($F$10=30,0,AP432))</f>
        <v>0</v>
      </c>
      <c r="AQ367" s="331">
        <f>+IF($F$10=0,AQ432,IF($F$10=30,AQ432,0))</f>
        <v>0</v>
      </c>
      <c r="AR367" s="331">
        <f>+IF($F$10=0,AR432,0)</f>
        <v>0</v>
      </c>
      <c r="AS367" s="331">
        <f>+AS432</f>
        <v>0</v>
      </c>
      <c r="AT367" s="331">
        <f>+IF($F$10=0,AT432,0)</f>
        <v>0</v>
      </c>
      <c r="AU367" s="331">
        <f>+IF($F$10=0,AU432,IF($F$10=30,AU432,0))</f>
        <v>0</v>
      </c>
      <c r="AV367" s="331">
        <f>+IF($F$10=0,AV432,IF($F$10=30,0,AV432))</f>
        <v>0</v>
      </c>
      <c r="AW367" s="331">
        <f>+IF($F$10=0,AW432,IF($F$10=30,AW432,0))</f>
        <v>0</v>
      </c>
      <c r="AX367" s="331">
        <f>+IF($F$10=0,AX432,0)</f>
        <v>0</v>
      </c>
      <c r="AY367" s="331">
        <f>+AY432</f>
        <v>0</v>
      </c>
      <c r="AZ367" s="331">
        <f>+IF($F$10=0,AZ432,0)</f>
        <v>0</v>
      </c>
      <c r="BA367" s="331">
        <f>+IF($F$10=0,BA432,IF($F$10=30,BA432,0))</f>
        <v>0</v>
      </c>
      <c r="BB367" s="331">
        <f>+IF($F$10=0,BB432,IF($F$10=30,0,BB432))</f>
        <v>0</v>
      </c>
      <c r="BC367" s="331">
        <f>+IF($F$10=0,BC432,IF($F$10=30,BC432,0))</f>
        <v>0</v>
      </c>
      <c r="BD367" s="331">
        <f>+IF($F$10=0,BD432,0)</f>
        <v>0</v>
      </c>
      <c r="BE367" s="331">
        <f>+BE432</f>
        <v>0</v>
      </c>
      <c r="BF367" s="331">
        <f>+IF($F$10=0,BF432,0)</f>
        <v>0</v>
      </c>
      <c r="BG367" s="331">
        <f>+IF($F$10=0,BG432,IF($F$10=30,BG432,0))</f>
        <v>0</v>
      </c>
      <c r="BH367" s="331">
        <f>+IF($F$10=0,BH432,IF($F$10=30,0,BH432))</f>
        <v>0</v>
      </c>
      <c r="BI367" s="331">
        <f>+IF($F$10=0,BI432,IF($F$10=30,BI432,0))</f>
        <v>0</v>
      </c>
      <c r="BJ367" s="331">
        <f>+IF($F$10=0,BJ432,0)</f>
        <v>0</v>
      </c>
      <c r="BK367" s="331">
        <f>+BK432</f>
        <v>0</v>
      </c>
      <c r="BL367" s="331">
        <f>+IF($F$10=0,BL432,0)</f>
        <v>0</v>
      </c>
      <c r="BM367" s="331">
        <f>+IF($F$10=0,BM432,IF($F$10=30,BM432,0))</f>
        <v>0</v>
      </c>
      <c r="BN367" s="331"/>
      <c r="BO367" s="331"/>
      <c r="BP367" s="331"/>
      <c r="BQ367" s="331"/>
      <c r="BR367" s="331"/>
      <c r="BS367" s="331"/>
      <c r="BT367" s="331"/>
      <c r="BU367" s="331"/>
      <c r="BV367" s="331"/>
      <c r="BW367" s="331"/>
      <c r="BX367" s="331"/>
      <c r="BY367" s="331"/>
      <c r="BZ367" s="331"/>
      <c r="CA367" s="331"/>
      <c r="CB367" s="331"/>
      <c r="CC367" s="331"/>
      <c r="CD367" s="331"/>
      <c r="CE367" s="331"/>
      <c r="CF367" s="331"/>
      <c r="CG367" s="331"/>
      <c r="CH367" s="331"/>
      <c r="CI367" s="331"/>
      <c r="CJ367" s="331"/>
      <c r="CK367" s="331"/>
      <c r="CL367" s="331"/>
      <c r="CM367" s="331"/>
      <c r="CN367" s="331"/>
    </row>
    <row r="368" spans="5:93" ht="15.75">
      <c r="E368" s="416">
        <f t="shared" si="207"/>
        <v>44334</v>
      </c>
      <c r="F368" s="331"/>
      <c r="K368" s="331"/>
      <c r="M368" s="331"/>
      <c r="Y368" s="331"/>
      <c r="Z368" s="331"/>
      <c r="AA368" s="331"/>
      <c r="AB368" s="331"/>
      <c r="AC368" s="331"/>
      <c r="AD368" s="331"/>
      <c r="AE368" s="331"/>
      <c r="AF368" s="331"/>
      <c r="AG368" s="331"/>
      <c r="AH368" s="331">
        <f>+AH433</f>
        <v>0</v>
      </c>
      <c r="AI368" s="331">
        <f>+IF($F$10=0,AI433,0)</f>
        <v>0</v>
      </c>
      <c r="AJ368" s="331">
        <f>+IF($F$10=0,AJ433,IF($F$10=30,AJ433,0))</f>
        <v>0</v>
      </c>
      <c r="AK368" s="331">
        <f>+IF($F$10=0,AK433,IF($F$10=30,0,AK433))</f>
        <v>0</v>
      </c>
      <c r="AL368" s="331">
        <f>+IF($F$10=0,AL433,IF($F$10=30,AL433,0))</f>
        <v>0</v>
      </c>
      <c r="AM368" s="331">
        <f>+IF($F$10=0,AM433,0)</f>
        <v>0</v>
      </c>
      <c r="AN368" s="331">
        <f>+AN433</f>
        <v>0</v>
      </c>
      <c r="AO368" s="331">
        <f>+IF($F$10=0,AO433,0)</f>
        <v>0</v>
      </c>
      <c r="AP368" s="331">
        <f>+IF($F$10=0,AP433,IF($F$10=30,AP433,0))</f>
        <v>0</v>
      </c>
      <c r="AQ368" s="331">
        <f>+IF($F$10=0,AQ433,IF($F$10=30,0,AQ433))</f>
        <v>0</v>
      </c>
      <c r="AR368" s="331">
        <f>+IF($F$10=0,AR433,IF($F$10=30,AR433,0))</f>
        <v>0</v>
      </c>
      <c r="AS368" s="331">
        <f>+IF($F$10=0,AS433,0)</f>
        <v>0</v>
      </c>
      <c r="AT368" s="331">
        <f>+AT433</f>
        <v>0</v>
      </c>
      <c r="AU368" s="331">
        <f>+IF($F$10=0,AU433,0)</f>
        <v>0</v>
      </c>
      <c r="AV368" s="331">
        <f>+IF($F$10=0,AV433,IF($F$10=30,AV433,0))</f>
        <v>0</v>
      </c>
      <c r="AW368" s="331">
        <f>+IF($F$10=0,AW433,IF($F$10=30,0,AW433))</f>
        <v>0</v>
      </c>
      <c r="AX368" s="331">
        <f>+IF($F$10=0,AX433,IF($F$10=30,AX433,0))</f>
        <v>0</v>
      </c>
      <c r="AY368" s="331">
        <f>+IF($F$10=0,AY433,0)</f>
        <v>0</v>
      </c>
      <c r="AZ368" s="331">
        <f>+AZ433</f>
        <v>0</v>
      </c>
      <c r="BA368" s="331">
        <f>+IF($F$10=0,BA433,0)</f>
        <v>0</v>
      </c>
      <c r="BB368" s="331">
        <f>+IF($F$10=0,BB433,IF($F$10=30,BB433,0))</f>
        <v>0</v>
      </c>
      <c r="BC368" s="331">
        <f>+IF($F$10=0,BC433,IF($F$10=30,0,BC433))</f>
        <v>0</v>
      </c>
      <c r="BD368" s="331">
        <f>+IF($F$10=0,BD433,IF($F$10=30,BD433,0))</f>
        <v>0</v>
      </c>
      <c r="BE368" s="331">
        <f>+IF($F$10=0,BE433,0)</f>
        <v>0</v>
      </c>
      <c r="BF368" s="331">
        <f>+BF433</f>
        <v>0</v>
      </c>
      <c r="BG368" s="331">
        <f>+IF($F$10=0,BG433,0)</f>
        <v>0</v>
      </c>
      <c r="BH368" s="331">
        <f>+IF($F$10=0,BH433,IF($F$10=30,BH433,0))</f>
        <v>0</v>
      </c>
      <c r="BI368" s="331">
        <f>+IF($F$10=0,BI433,IF($F$10=30,0,BI433))</f>
        <v>0</v>
      </c>
      <c r="BJ368" s="331">
        <f>+IF($F$10=0,BJ433,IF($F$10=30,BJ433,0))</f>
        <v>0</v>
      </c>
      <c r="BK368" s="331">
        <f>+IF($F$10=0,BK433,0)</f>
        <v>0</v>
      </c>
      <c r="BL368" s="331">
        <f>+BL433</f>
        <v>0</v>
      </c>
      <c r="BM368" s="331">
        <f>+IF($F$10=0,BM433,0)</f>
        <v>0</v>
      </c>
      <c r="BN368" s="331"/>
      <c r="BO368" s="331"/>
      <c r="BP368" s="331"/>
      <c r="BQ368" s="331"/>
      <c r="BR368" s="331"/>
      <c r="BS368" s="331"/>
      <c r="BT368" s="331"/>
      <c r="BU368" s="331"/>
      <c r="BV368" s="331"/>
      <c r="BW368" s="331"/>
      <c r="BX368" s="331"/>
      <c r="BY368" s="331"/>
      <c r="BZ368" s="331"/>
      <c r="CA368" s="331"/>
      <c r="CB368" s="331"/>
      <c r="CC368" s="331"/>
      <c r="CD368" s="331"/>
      <c r="CE368" s="331"/>
      <c r="CF368" s="331"/>
      <c r="CG368" s="331"/>
      <c r="CH368" s="331"/>
      <c r="CI368" s="331"/>
      <c r="CJ368" s="331"/>
      <c r="CK368" s="331"/>
      <c r="CL368" s="331"/>
      <c r="CM368" s="331"/>
      <c r="CN368" s="331"/>
      <c r="CO368" s="331"/>
    </row>
    <row r="369" spans="5:94" ht="15.75">
      <c r="E369" s="416">
        <f t="shared" si="207"/>
        <v>44365</v>
      </c>
      <c r="F369" s="331"/>
      <c r="K369" s="331"/>
      <c r="M369" s="331"/>
      <c r="Y369" s="331"/>
      <c r="Z369" s="331"/>
      <c r="AA369" s="331"/>
      <c r="AB369" s="331"/>
      <c r="AC369" s="331"/>
      <c r="AD369" s="331"/>
      <c r="AE369" s="331"/>
      <c r="AF369" s="331"/>
      <c r="AG369" s="331"/>
      <c r="AH369" s="331"/>
      <c r="AI369" s="331">
        <f>+AI434</f>
        <v>0</v>
      </c>
      <c r="AJ369" s="331">
        <f>+IF($F$10=0,AJ434,0)</f>
        <v>0</v>
      </c>
      <c r="AK369" s="331">
        <f>+IF($F$10=0,AK434,IF($F$10=30,AK434,0))</f>
        <v>0</v>
      </c>
      <c r="AL369" s="331">
        <f>+IF($F$10=0,AL434,IF($F$10=30,0,AL434))</f>
        <v>0</v>
      </c>
      <c r="AM369" s="331">
        <f>+IF($F$10=0,AM434,IF($F$10=30,AM434,0))</f>
        <v>0</v>
      </c>
      <c r="AN369" s="331">
        <f>+IF($F$10=0,AN434,0)</f>
        <v>0</v>
      </c>
      <c r="AO369" s="331">
        <f>+AO434</f>
        <v>0</v>
      </c>
      <c r="AP369" s="331">
        <f>+IF($F$10=0,AP434,0)</f>
        <v>0</v>
      </c>
      <c r="AQ369" s="331">
        <f>+IF($F$10=0,AQ434,IF($F$10=30,AQ434,0))</f>
        <v>0</v>
      </c>
      <c r="AR369" s="331">
        <f>+IF($F$10=0,AR434,IF($F$10=30,0,AR434))</f>
        <v>0</v>
      </c>
      <c r="AS369" s="331">
        <f>+IF($F$10=0,AS434,IF($F$10=30,AS434,0))</f>
        <v>0</v>
      </c>
      <c r="AT369" s="331">
        <f>+IF($F$10=0,AT434,0)</f>
        <v>0</v>
      </c>
      <c r="AU369" s="331">
        <f>+AU434</f>
        <v>0</v>
      </c>
      <c r="AV369" s="331">
        <f>+IF($F$10=0,AV434,0)</f>
        <v>0</v>
      </c>
      <c r="AW369" s="331">
        <f>+IF($F$10=0,AW434,IF($F$10=30,AW434,0))</f>
        <v>0</v>
      </c>
      <c r="AX369" s="331">
        <f>+IF($F$10=0,AX434,IF($F$10=30,0,AX434))</f>
        <v>0</v>
      </c>
      <c r="AY369" s="331">
        <f>+IF($F$10=0,AY434,IF($F$10=30,AY434,0))</f>
        <v>0</v>
      </c>
      <c r="AZ369" s="331">
        <f>+IF($F$10=0,AZ434,0)</f>
        <v>0</v>
      </c>
      <c r="BA369" s="331">
        <f>+BA434</f>
        <v>0</v>
      </c>
      <c r="BB369" s="331">
        <f>+IF($F$10=0,BB434,0)</f>
        <v>0</v>
      </c>
      <c r="BC369" s="331">
        <f>+IF($F$10=0,BC434,IF($F$10=30,BC434,0))</f>
        <v>0</v>
      </c>
      <c r="BD369" s="331">
        <f>+IF($F$10=0,BD434,IF($F$10=30,0,BD434))</f>
        <v>0</v>
      </c>
      <c r="BE369" s="331">
        <f>+IF($F$10=0,BE434,IF($F$10=30,BE434,0))</f>
        <v>0</v>
      </c>
      <c r="BF369" s="331">
        <f>+IF($F$10=0,BF434,0)</f>
        <v>0</v>
      </c>
      <c r="BG369" s="331">
        <f>+BG434</f>
        <v>0</v>
      </c>
      <c r="BH369" s="331">
        <f>+IF($F$10=0,BH434,0)</f>
        <v>0</v>
      </c>
      <c r="BI369" s="331">
        <f>+IF($F$10=0,BI434,IF($F$10=30,BI434,0))</f>
        <v>0</v>
      </c>
      <c r="BJ369" s="331">
        <f>+IF($F$10=0,BJ434,IF($F$10=30,0,BJ434))</f>
        <v>0</v>
      </c>
      <c r="BK369" s="331">
        <f>+IF($F$10=0,BK434,IF($F$10=30,BK434,0))</f>
        <v>0</v>
      </c>
      <c r="BL369" s="331">
        <f>+IF($F$10=0,BL434,0)</f>
        <v>0</v>
      </c>
      <c r="BM369" s="331">
        <f>+BM434</f>
        <v>0</v>
      </c>
      <c r="BN369" s="331"/>
      <c r="BO369" s="331"/>
      <c r="BP369" s="331"/>
      <c r="BQ369" s="331"/>
      <c r="BR369" s="331"/>
      <c r="BS369" s="331"/>
      <c r="BT369" s="331"/>
      <c r="BU369" s="331"/>
      <c r="BV369" s="331"/>
      <c r="BW369" s="331"/>
      <c r="BX369" s="331"/>
      <c r="BY369" s="331"/>
      <c r="BZ369" s="331"/>
      <c r="CA369" s="331"/>
      <c r="CB369" s="331"/>
      <c r="CC369" s="331"/>
      <c r="CD369" s="331"/>
      <c r="CE369" s="331"/>
      <c r="CF369" s="331"/>
      <c r="CG369" s="331"/>
      <c r="CH369" s="331"/>
      <c r="CI369" s="331"/>
      <c r="CJ369" s="331"/>
      <c r="CK369" s="331"/>
      <c r="CL369" s="331"/>
      <c r="CM369" s="331"/>
      <c r="CN369" s="331"/>
      <c r="CO369" s="331"/>
      <c r="CP369" s="331"/>
    </row>
    <row r="370" spans="5:95" ht="15.75">
      <c r="E370" s="416">
        <f t="shared" si="207"/>
        <v>44396</v>
      </c>
      <c r="F370" s="331"/>
      <c r="K370" s="331"/>
      <c r="M370" s="331"/>
      <c r="Y370" s="331"/>
      <c r="Z370" s="331"/>
      <c r="AA370" s="331"/>
      <c r="AB370" s="331"/>
      <c r="AC370" s="331"/>
      <c r="AD370" s="331"/>
      <c r="AE370" s="331"/>
      <c r="AF370" s="331"/>
      <c r="AG370" s="331"/>
      <c r="AH370" s="331"/>
      <c r="AI370" s="331"/>
      <c r="AJ370" s="331">
        <f>+AJ435</f>
        <v>0</v>
      </c>
      <c r="AK370" s="331">
        <f>+IF($F$10=0,AK435,0)</f>
        <v>0</v>
      </c>
      <c r="AL370" s="331">
        <f>+IF($F$10=0,AL435,IF($F$10=30,AL435,0))</f>
        <v>0</v>
      </c>
      <c r="AM370" s="331">
        <f>+IF($F$10=0,AM435,IF($F$10=30,0,AM435))</f>
        <v>0</v>
      </c>
      <c r="AN370" s="331">
        <f>+IF($F$10=0,AN435,IF($F$10=30,AN435,0))</f>
        <v>0</v>
      </c>
      <c r="AO370" s="331">
        <f>+IF($F$10=0,AO435,0)</f>
        <v>0</v>
      </c>
      <c r="AP370" s="331">
        <f>+AP435</f>
        <v>0</v>
      </c>
      <c r="AQ370" s="331">
        <f>+IF($F$10=0,AQ435,0)</f>
        <v>0</v>
      </c>
      <c r="AR370" s="331">
        <f>+IF($F$10=0,AR435,IF($F$10=30,AR435,0))</f>
        <v>0</v>
      </c>
      <c r="AS370" s="331">
        <f>+IF($F$10=0,AS435,IF($F$10=30,0,AS435))</f>
        <v>0</v>
      </c>
      <c r="AT370" s="331">
        <f>+IF($F$10=0,AT435,IF($F$10=30,AT435,0))</f>
        <v>0</v>
      </c>
      <c r="AU370" s="331">
        <f>+IF($F$10=0,AU435,0)</f>
        <v>0</v>
      </c>
      <c r="AV370" s="331">
        <f>+AV435</f>
        <v>0</v>
      </c>
      <c r="AW370" s="331">
        <f>+IF($F$10=0,AW435,0)</f>
        <v>0</v>
      </c>
      <c r="AX370" s="331">
        <f>+IF($F$10=0,AX435,IF($F$10=30,AX435,0))</f>
        <v>0</v>
      </c>
      <c r="AY370" s="331">
        <f>+IF($F$10=0,AY435,IF($F$10=30,0,AY435))</f>
        <v>0</v>
      </c>
      <c r="AZ370" s="331">
        <f>+IF($F$10=0,AZ435,IF($F$10=30,AZ435,0))</f>
        <v>0</v>
      </c>
      <c r="BA370" s="331">
        <f>+IF($F$10=0,BA435,0)</f>
        <v>0</v>
      </c>
      <c r="BB370" s="331">
        <f>+BB435</f>
        <v>0</v>
      </c>
      <c r="BC370" s="331">
        <f>+IF($F$10=0,BC435,0)</f>
        <v>0</v>
      </c>
      <c r="BD370" s="331">
        <f>+IF($F$10=0,BD435,IF($F$10=30,BD435,0))</f>
        <v>0</v>
      </c>
      <c r="BE370" s="331">
        <f>+IF($F$10=0,BE435,IF($F$10=30,0,BE435))</f>
        <v>0</v>
      </c>
      <c r="BF370" s="331">
        <f>+IF($F$10=0,BF435,IF($F$10=30,BF435,0))</f>
        <v>0</v>
      </c>
      <c r="BG370" s="331">
        <f>+IF($F$10=0,BG435,0)</f>
        <v>0</v>
      </c>
      <c r="BH370" s="331">
        <f>+BH435</f>
        <v>0</v>
      </c>
      <c r="BI370" s="331">
        <f>+IF($F$10=0,BI435,0)</f>
        <v>0</v>
      </c>
      <c r="BJ370" s="331">
        <f>+IF($F$10=0,BJ435,IF($F$10=30,BJ435,0))</f>
        <v>0</v>
      </c>
      <c r="BK370" s="331">
        <f>+IF($F$10=0,BK435,IF($F$10=30,0,BK435))</f>
        <v>0</v>
      </c>
      <c r="BL370" s="331">
        <f>+IF($F$10=0,BL435,IF($F$10=30,BL435,0))</f>
        <v>0</v>
      </c>
      <c r="BM370" s="331">
        <f>+IF($F$10=0,BM435,0)</f>
        <v>0</v>
      </c>
      <c r="BN370" s="331"/>
      <c r="BO370" s="331"/>
      <c r="BP370" s="331"/>
      <c r="BQ370" s="331"/>
      <c r="BR370" s="331"/>
      <c r="BS370" s="331"/>
      <c r="BT370" s="331"/>
      <c r="BU370" s="331"/>
      <c r="BV370" s="331"/>
      <c r="BW370" s="331"/>
      <c r="BX370" s="331"/>
      <c r="BY370" s="331"/>
      <c r="BZ370" s="331"/>
      <c r="CA370" s="331"/>
      <c r="CB370" s="331"/>
      <c r="CC370" s="331"/>
      <c r="CD370" s="331"/>
      <c r="CE370" s="331"/>
      <c r="CF370" s="331"/>
      <c r="CG370" s="331"/>
      <c r="CH370" s="331"/>
      <c r="CI370" s="331"/>
      <c r="CJ370" s="331"/>
      <c r="CK370" s="331"/>
      <c r="CL370" s="331"/>
      <c r="CM370" s="331"/>
      <c r="CN370" s="331"/>
      <c r="CO370" s="331"/>
      <c r="CP370" s="331"/>
      <c r="CQ370" s="331"/>
    </row>
    <row r="371" spans="5:96" ht="15.75">
      <c r="E371" s="416">
        <f t="shared" si="207"/>
        <v>44427</v>
      </c>
      <c r="F371" s="331"/>
      <c r="K371" s="331"/>
      <c r="M371" s="331"/>
      <c r="Y371" s="331"/>
      <c r="Z371" s="331"/>
      <c r="AA371" s="331"/>
      <c r="AB371" s="331"/>
      <c r="AC371" s="331"/>
      <c r="AD371" s="331"/>
      <c r="AE371" s="331"/>
      <c r="AF371" s="331"/>
      <c r="AG371" s="331"/>
      <c r="AH371" s="331"/>
      <c r="AI371" s="331"/>
      <c r="AJ371" s="331"/>
      <c r="AK371" s="331">
        <f>+AK436</f>
        <v>0</v>
      </c>
      <c r="AL371" s="331">
        <f>+IF($F$10=0,AL436,0)</f>
        <v>0</v>
      </c>
      <c r="AM371" s="331">
        <f>+IF($F$10=0,AM436,IF($F$10=30,AM436,0))</f>
        <v>0</v>
      </c>
      <c r="AN371" s="331">
        <f>+IF($F$10=0,AN436,IF($F$10=30,0,AN436))</f>
        <v>0</v>
      </c>
      <c r="AO371" s="331">
        <f>+IF($F$10=0,AO436,IF($F$10=30,AO436,0))</f>
        <v>0</v>
      </c>
      <c r="AP371" s="331">
        <f>+IF($F$10=0,AP436,0)</f>
        <v>0</v>
      </c>
      <c r="AQ371" s="331">
        <f>+AQ436</f>
        <v>0</v>
      </c>
      <c r="AR371" s="331">
        <f>+IF($F$10=0,AR436,0)</f>
        <v>0</v>
      </c>
      <c r="AS371" s="331">
        <f>+IF($F$10=0,AS436,IF($F$10=30,AS436,0))</f>
        <v>0</v>
      </c>
      <c r="AT371" s="331">
        <f>+IF($F$10=0,AT436,IF($F$10=30,0,AT436))</f>
        <v>0</v>
      </c>
      <c r="AU371" s="331">
        <f>+IF($F$10=0,AU436,IF($F$10=30,AU436,0))</f>
        <v>0</v>
      </c>
      <c r="AV371" s="331">
        <f>+IF($F$10=0,AV436,0)</f>
        <v>0</v>
      </c>
      <c r="AW371" s="331">
        <f>+AW436</f>
        <v>0</v>
      </c>
      <c r="AX371" s="331">
        <f>+IF($F$10=0,AX436,0)</f>
        <v>0</v>
      </c>
      <c r="AY371" s="331">
        <f>+IF($F$10=0,AY436,IF($F$10=30,AY436,0))</f>
        <v>0</v>
      </c>
      <c r="AZ371" s="331">
        <f>+IF($F$10=0,AZ436,IF($F$10=30,0,AZ436))</f>
        <v>0</v>
      </c>
      <c r="BA371" s="331">
        <f>+IF($F$10=0,BA436,IF($F$10=30,BA436,0))</f>
        <v>0</v>
      </c>
      <c r="BB371" s="331">
        <f>+IF($F$10=0,BB436,0)</f>
        <v>0</v>
      </c>
      <c r="BC371" s="331">
        <f>+BC436</f>
        <v>0</v>
      </c>
      <c r="BD371" s="331">
        <f>+IF($F$10=0,BD436,0)</f>
        <v>0</v>
      </c>
      <c r="BE371" s="331">
        <f>+IF($F$10=0,BE436,IF($F$10=30,BE436,0))</f>
        <v>0</v>
      </c>
      <c r="BF371" s="331">
        <f>+IF($F$10=0,BF436,IF($F$10=30,0,BF436))</f>
        <v>0</v>
      </c>
      <c r="BG371" s="331">
        <f>+IF($F$10=0,BG436,IF($F$10=30,BG436,0))</f>
        <v>0</v>
      </c>
      <c r="BH371" s="331">
        <f>+IF($F$10=0,BH436,0)</f>
        <v>0</v>
      </c>
      <c r="BI371" s="331">
        <f>+BI436</f>
        <v>0</v>
      </c>
      <c r="BJ371" s="331">
        <f>+IF($F$10=0,BJ436,0)</f>
        <v>0</v>
      </c>
      <c r="BK371" s="331">
        <f>+IF($F$10=0,BK436,IF($F$10=30,BK436,0))</f>
        <v>0</v>
      </c>
      <c r="BL371" s="331">
        <f>+IF($F$10=0,BL436,IF($F$10=30,0,BL436))</f>
        <v>0</v>
      </c>
      <c r="BM371" s="331">
        <f>+IF($F$10=0,BM436,IF($F$10=30,BM436,0))</f>
        <v>0</v>
      </c>
      <c r="BN371" s="331"/>
      <c r="BO371" s="331"/>
      <c r="BP371" s="331"/>
      <c r="BQ371" s="331"/>
      <c r="BR371" s="331"/>
      <c r="BS371" s="331"/>
      <c r="BT371" s="331"/>
      <c r="BU371" s="331"/>
      <c r="BV371" s="331"/>
      <c r="BW371" s="331"/>
      <c r="BX371" s="331"/>
      <c r="BY371" s="331"/>
      <c r="BZ371" s="331"/>
      <c r="CA371" s="331"/>
      <c r="CB371" s="331"/>
      <c r="CC371" s="331"/>
      <c r="CD371" s="331"/>
      <c r="CE371" s="331"/>
      <c r="CF371" s="331"/>
      <c r="CG371" s="331"/>
      <c r="CH371" s="331"/>
      <c r="CI371" s="331"/>
      <c r="CJ371" s="331"/>
      <c r="CK371" s="331"/>
      <c r="CL371" s="331"/>
      <c r="CM371" s="331"/>
      <c r="CN371" s="331"/>
      <c r="CO371" s="331"/>
      <c r="CP371" s="331"/>
      <c r="CQ371" s="331"/>
      <c r="CR371" s="331"/>
    </row>
    <row r="372" spans="5:97" ht="15.75">
      <c r="E372" s="416">
        <f t="shared" si="207"/>
        <v>44458</v>
      </c>
      <c r="F372" s="331"/>
      <c r="K372" s="331"/>
      <c r="M372" s="331"/>
      <c r="Y372" s="331"/>
      <c r="Z372" s="331"/>
      <c r="AA372" s="331"/>
      <c r="AB372" s="331"/>
      <c r="AC372" s="331"/>
      <c r="AD372" s="331"/>
      <c r="AE372" s="331"/>
      <c r="AF372" s="331"/>
      <c r="AG372" s="331"/>
      <c r="AH372" s="331"/>
      <c r="AI372" s="331"/>
      <c r="AJ372" s="331"/>
      <c r="AK372" s="331"/>
      <c r="AL372" s="331">
        <f>+AL437</f>
        <v>0</v>
      </c>
      <c r="AM372" s="331">
        <f>+IF($F$10=0,AM437,0)</f>
        <v>0</v>
      </c>
      <c r="AN372" s="331">
        <f>+IF($F$10=0,AN437,IF($F$10=30,AN437,0))</f>
        <v>0</v>
      </c>
      <c r="AO372" s="331">
        <f>+IF($F$10=0,AO437,IF($F$10=30,0,AO437))</f>
        <v>0</v>
      </c>
      <c r="AP372" s="331">
        <f>+IF($F$10=0,AP437,IF($F$10=30,AP437,0))</f>
        <v>0</v>
      </c>
      <c r="AQ372" s="331">
        <f>+IF($F$10=0,AQ437,0)</f>
        <v>0</v>
      </c>
      <c r="AR372" s="331">
        <f>+AR437</f>
        <v>0</v>
      </c>
      <c r="AS372" s="331">
        <f>+IF($F$10=0,AS437,0)</f>
        <v>0</v>
      </c>
      <c r="AT372" s="331">
        <f>+IF($F$10=0,AT437,IF($F$10=30,AT437,0))</f>
        <v>0</v>
      </c>
      <c r="AU372" s="331">
        <f>+IF($F$10=0,AU437,IF($F$10=30,0,AU437))</f>
        <v>0</v>
      </c>
      <c r="AV372" s="331">
        <f>+IF($F$10=0,AV437,IF($F$10=30,AV437,0))</f>
        <v>0</v>
      </c>
      <c r="AW372" s="331">
        <f>+IF($F$10=0,AW437,0)</f>
        <v>0</v>
      </c>
      <c r="AX372" s="331">
        <f>+AX437</f>
        <v>0</v>
      </c>
      <c r="AY372" s="331">
        <f>+IF($F$10=0,AY437,0)</f>
        <v>0</v>
      </c>
      <c r="AZ372" s="331">
        <f>+IF($F$10=0,AZ437,IF($F$10=30,AZ437,0))</f>
        <v>0</v>
      </c>
      <c r="BA372" s="331">
        <f>+IF($F$10=0,BA437,IF($F$10=30,0,BA437))</f>
        <v>0</v>
      </c>
      <c r="BB372" s="331">
        <f>+IF($F$10=0,BB437,IF($F$10=30,BB437,0))</f>
        <v>0</v>
      </c>
      <c r="BC372" s="331">
        <f>+IF($F$10=0,BC437,0)</f>
        <v>0</v>
      </c>
      <c r="BD372" s="331">
        <f>+BD437</f>
        <v>0</v>
      </c>
      <c r="BE372" s="331">
        <f>+IF($F$10=0,BE437,0)</f>
        <v>0</v>
      </c>
      <c r="BF372" s="331">
        <f>+IF($F$10=0,BF437,IF($F$10=30,BF437,0))</f>
        <v>0</v>
      </c>
      <c r="BG372" s="331">
        <f>+IF($F$10=0,BG437,IF($F$10=30,0,BG437))</f>
        <v>0</v>
      </c>
      <c r="BH372" s="331">
        <f>+IF($F$10=0,BH437,IF($F$10=30,BH437,0))</f>
        <v>0</v>
      </c>
      <c r="BI372" s="331">
        <f>+IF($F$10=0,BI437,0)</f>
        <v>0</v>
      </c>
      <c r="BJ372" s="331">
        <f>+BJ437</f>
        <v>0</v>
      </c>
      <c r="BK372" s="331">
        <f>+IF($F$10=0,BK437,0)</f>
        <v>0</v>
      </c>
      <c r="BL372" s="331">
        <f>+IF($F$10=0,BL437,IF($F$10=30,BL437,0))</f>
        <v>0</v>
      </c>
      <c r="BM372" s="331">
        <f>+IF($F$10=0,BM437,IF($F$10=30,0,BM437))</f>
        <v>0</v>
      </c>
      <c r="BN372" s="331"/>
      <c r="BO372" s="331"/>
      <c r="BP372" s="331"/>
      <c r="BQ372" s="331"/>
      <c r="BR372" s="331"/>
      <c r="BS372" s="331"/>
      <c r="BT372" s="331"/>
      <c r="BU372" s="331"/>
      <c r="BV372" s="331"/>
      <c r="BW372" s="331"/>
      <c r="BX372" s="331"/>
      <c r="BY372" s="331"/>
      <c r="BZ372" s="331"/>
      <c r="CA372" s="331"/>
      <c r="CB372" s="331"/>
      <c r="CC372" s="331"/>
      <c r="CD372" s="331"/>
      <c r="CE372" s="331"/>
      <c r="CF372" s="331"/>
      <c r="CG372" s="331"/>
      <c r="CH372" s="331"/>
      <c r="CI372" s="331"/>
      <c r="CJ372" s="331"/>
      <c r="CK372" s="331"/>
      <c r="CL372" s="331"/>
      <c r="CM372" s="331"/>
      <c r="CN372" s="331"/>
      <c r="CO372" s="331"/>
      <c r="CP372" s="331"/>
      <c r="CQ372" s="331"/>
      <c r="CR372" s="331"/>
      <c r="CS372" s="331"/>
    </row>
    <row r="373" spans="5:98" ht="15.75">
      <c r="E373" s="416">
        <f t="shared" si="207"/>
        <v>44489</v>
      </c>
      <c r="F373" s="331"/>
      <c r="K373" s="331"/>
      <c r="M373" s="331"/>
      <c r="Y373" s="331"/>
      <c r="Z373" s="331"/>
      <c r="AA373" s="331"/>
      <c r="AB373" s="331"/>
      <c r="AC373" s="331"/>
      <c r="AD373" s="331"/>
      <c r="AE373" s="331"/>
      <c r="AF373" s="331"/>
      <c r="AG373" s="331"/>
      <c r="AH373" s="331"/>
      <c r="AI373" s="331"/>
      <c r="AJ373" s="331"/>
      <c r="AK373" s="331"/>
      <c r="AL373" s="331"/>
      <c r="AM373" s="331">
        <f>+AM438</f>
        <v>0</v>
      </c>
      <c r="AN373" s="331">
        <f>+IF($F$10=0,AN438,0)</f>
        <v>0</v>
      </c>
      <c r="AO373" s="331">
        <f>+IF($F$10=0,AO438,IF($F$10=30,AO438,0))</f>
        <v>0</v>
      </c>
      <c r="AP373" s="331">
        <f>+IF($F$10=0,AP438,IF($F$10=30,0,AP438))</f>
        <v>0</v>
      </c>
      <c r="AQ373" s="331">
        <f>+IF($F$10=0,AQ438,IF($F$10=30,AQ438,0))</f>
        <v>0</v>
      </c>
      <c r="AR373" s="331">
        <f>+IF($F$10=0,AR438,0)</f>
        <v>0</v>
      </c>
      <c r="AS373" s="331">
        <f>+AS438</f>
        <v>0</v>
      </c>
      <c r="AT373" s="331">
        <f>+IF($F$10=0,AT438,0)</f>
        <v>0</v>
      </c>
      <c r="AU373" s="331">
        <f>+IF($F$10=0,AU438,IF($F$10=30,AU438,0))</f>
        <v>0</v>
      </c>
      <c r="AV373" s="331">
        <f>+IF($F$10=0,AV438,IF($F$10=30,0,AV438))</f>
        <v>0</v>
      </c>
      <c r="AW373" s="331">
        <f>+IF($F$10=0,AW438,IF($F$10=30,AW438,0))</f>
        <v>0</v>
      </c>
      <c r="AX373" s="331">
        <f>+IF($F$10=0,AX438,0)</f>
        <v>0</v>
      </c>
      <c r="AY373" s="331">
        <f>+AY438</f>
        <v>0</v>
      </c>
      <c r="AZ373" s="331">
        <f>+IF($F$10=0,AZ438,0)</f>
        <v>0</v>
      </c>
      <c r="BA373" s="331">
        <f>+IF($F$10=0,BA438,IF($F$10=30,BA438,0))</f>
        <v>0</v>
      </c>
      <c r="BB373" s="331">
        <f>+IF($F$10=0,BB438,IF($F$10=30,0,BB438))</f>
        <v>0</v>
      </c>
      <c r="BC373" s="331">
        <f>+IF($F$10=0,BC438,IF($F$10=30,BC438,0))</f>
        <v>0</v>
      </c>
      <c r="BD373" s="331">
        <f>+IF($F$10=0,BD438,0)</f>
        <v>0</v>
      </c>
      <c r="BE373" s="331">
        <f>+BE438</f>
        <v>0</v>
      </c>
      <c r="BF373" s="331">
        <f>+IF($F$10=0,BF438,0)</f>
        <v>0</v>
      </c>
      <c r="BG373" s="331">
        <f>+IF($F$10=0,BG438,IF($F$10=30,BG438,0))</f>
        <v>0</v>
      </c>
      <c r="BH373" s="331">
        <f>+IF($F$10=0,BH438,IF($F$10=30,0,BH438))</f>
        <v>0</v>
      </c>
      <c r="BI373" s="331">
        <f>+IF($F$10=0,BI438,IF($F$10=30,BI438,0))</f>
        <v>0</v>
      </c>
      <c r="BJ373" s="331">
        <f>+IF($F$10=0,BJ438,0)</f>
        <v>0</v>
      </c>
      <c r="BK373" s="331">
        <f>+BK438</f>
        <v>0</v>
      </c>
      <c r="BL373" s="331">
        <f>+IF($F$10=0,BL438,0)</f>
        <v>0</v>
      </c>
      <c r="BM373" s="331">
        <f>+IF($F$10=0,BM438,IF($F$10=30,BM438,0))</f>
        <v>0</v>
      </c>
      <c r="BN373" s="331"/>
      <c r="BO373" s="331"/>
      <c r="BP373" s="331"/>
      <c r="BQ373" s="331"/>
      <c r="BR373" s="331"/>
      <c r="BS373" s="331"/>
      <c r="BT373" s="331"/>
      <c r="BU373" s="331"/>
      <c r="BV373" s="331"/>
      <c r="BW373" s="331"/>
      <c r="BX373" s="331"/>
      <c r="BY373" s="331"/>
      <c r="BZ373" s="331"/>
      <c r="CA373" s="331"/>
      <c r="CB373" s="331"/>
      <c r="CC373" s="331"/>
      <c r="CD373" s="331"/>
      <c r="CE373" s="331"/>
      <c r="CF373" s="331"/>
      <c r="CG373" s="331"/>
      <c r="CH373" s="331"/>
      <c r="CI373" s="331"/>
      <c r="CJ373" s="331"/>
      <c r="CK373" s="331"/>
      <c r="CL373" s="331"/>
      <c r="CM373" s="331"/>
      <c r="CN373" s="331"/>
      <c r="CO373" s="331"/>
      <c r="CP373" s="331"/>
      <c r="CQ373" s="331"/>
      <c r="CR373" s="331"/>
      <c r="CS373" s="331"/>
      <c r="CT373" s="331"/>
    </row>
    <row r="374" spans="5:99" ht="15.75">
      <c r="E374" s="416">
        <f t="shared" si="207"/>
        <v>44520</v>
      </c>
      <c r="F374" s="331"/>
      <c r="K374" s="331"/>
      <c r="M374" s="331"/>
      <c r="Y374" s="331"/>
      <c r="Z374" s="331"/>
      <c r="AA374" s="331"/>
      <c r="AB374" s="331"/>
      <c r="AC374" s="331"/>
      <c r="AD374" s="331"/>
      <c r="AE374" s="331"/>
      <c r="AF374" s="331"/>
      <c r="AG374" s="331"/>
      <c r="AH374" s="331"/>
      <c r="AI374" s="331"/>
      <c r="AJ374" s="331"/>
      <c r="AK374" s="331"/>
      <c r="AL374" s="331"/>
      <c r="AM374" s="331"/>
      <c r="AN374" s="331">
        <f>+AN439</f>
        <v>0</v>
      </c>
      <c r="AO374" s="331">
        <f>+IF($F$10=0,AO439,0)</f>
        <v>0</v>
      </c>
      <c r="AP374" s="331">
        <f>+IF($F$10=0,AP439,IF($F$10=30,AP439,0))</f>
        <v>0</v>
      </c>
      <c r="AQ374" s="331">
        <f>+IF($F$10=0,AQ439,IF($F$10=30,0,AQ439))</f>
        <v>0</v>
      </c>
      <c r="AR374" s="331">
        <f>+IF($F$10=0,AR439,IF($F$10=30,AR439,0))</f>
        <v>0</v>
      </c>
      <c r="AS374" s="331">
        <f>+IF($F$10=0,AS439,0)</f>
        <v>0</v>
      </c>
      <c r="AT374" s="331">
        <f>+AT439</f>
        <v>0</v>
      </c>
      <c r="AU374" s="331">
        <f>+IF($F$10=0,AU439,0)</f>
        <v>0</v>
      </c>
      <c r="AV374" s="331">
        <f>+IF($F$10=0,AV439,IF($F$10=30,AV439,0))</f>
        <v>0</v>
      </c>
      <c r="AW374" s="331">
        <f>+IF($F$10=0,AW439,IF($F$10=30,0,AW439))</f>
        <v>0</v>
      </c>
      <c r="AX374" s="331">
        <f>+IF($F$10=0,AX439,IF($F$10=30,AX439,0))</f>
        <v>0</v>
      </c>
      <c r="AY374" s="331">
        <f>+IF($F$10=0,AY439,0)</f>
        <v>0</v>
      </c>
      <c r="AZ374" s="331">
        <f>+AZ439</f>
        <v>0</v>
      </c>
      <c r="BA374" s="331">
        <f>+IF($F$10=0,BA439,0)</f>
        <v>0</v>
      </c>
      <c r="BB374" s="331">
        <f>+IF($F$10=0,BB439,IF($F$10=30,BB439,0))</f>
        <v>0</v>
      </c>
      <c r="BC374" s="331">
        <f>+IF($F$10=0,BC439,IF($F$10=30,0,BC439))</f>
        <v>0</v>
      </c>
      <c r="BD374" s="331">
        <f>+IF($F$10=0,BD439,IF($F$10=30,BD439,0))</f>
        <v>0</v>
      </c>
      <c r="BE374" s="331">
        <f>+IF($F$10=0,BE439,0)</f>
        <v>0</v>
      </c>
      <c r="BF374" s="331">
        <f>+BF439</f>
        <v>0</v>
      </c>
      <c r="BG374" s="331">
        <f>+IF($F$10=0,BG439,0)</f>
        <v>0</v>
      </c>
      <c r="BH374" s="331">
        <f>+IF($F$10=0,BH439,IF($F$10=30,BH439,0))</f>
        <v>0</v>
      </c>
      <c r="BI374" s="331">
        <f>+IF($F$10=0,BI439,IF($F$10=30,0,BI439))</f>
        <v>0</v>
      </c>
      <c r="BJ374" s="331">
        <f>+IF($F$10=0,BJ439,IF($F$10=30,BJ439,0))</f>
        <v>0</v>
      </c>
      <c r="BK374" s="331">
        <f>+IF($F$10=0,BK439,0)</f>
        <v>0</v>
      </c>
      <c r="BL374" s="331">
        <f>+BL439</f>
        <v>0</v>
      </c>
      <c r="BM374" s="331">
        <f>+IF($F$10=0,BM439,0)</f>
        <v>0</v>
      </c>
      <c r="BN374" s="331"/>
      <c r="BO374" s="331"/>
      <c r="BP374" s="331"/>
      <c r="BQ374" s="331"/>
      <c r="BR374" s="331"/>
      <c r="BS374" s="331"/>
      <c r="BT374" s="331"/>
      <c r="BU374" s="331"/>
      <c r="BV374" s="331"/>
      <c r="BW374" s="331"/>
      <c r="BX374" s="331"/>
      <c r="BY374" s="331"/>
      <c r="BZ374" s="331"/>
      <c r="CA374" s="331"/>
      <c r="CB374" s="331"/>
      <c r="CC374" s="331"/>
      <c r="CD374" s="331"/>
      <c r="CE374" s="331"/>
      <c r="CF374" s="331"/>
      <c r="CG374" s="331"/>
      <c r="CH374" s="331"/>
      <c r="CI374" s="331"/>
      <c r="CJ374" s="331"/>
      <c r="CK374" s="331"/>
      <c r="CL374" s="331"/>
      <c r="CM374" s="331"/>
      <c r="CN374" s="331"/>
      <c r="CO374" s="331"/>
      <c r="CP374" s="331"/>
      <c r="CQ374" s="331"/>
      <c r="CR374" s="331"/>
      <c r="CS374" s="331"/>
      <c r="CT374" s="331"/>
      <c r="CU374" s="331"/>
    </row>
    <row r="375" spans="5:100" ht="15.75">
      <c r="E375" s="416">
        <f t="shared" si="207"/>
        <v>44551</v>
      </c>
      <c r="F375" s="331"/>
      <c r="K375" s="331"/>
      <c r="M375" s="331"/>
      <c r="Y375" s="331"/>
      <c r="Z375" s="331"/>
      <c r="AA375" s="331"/>
      <c r="AB375" s="331"/>
      <c r="AC375" s="331"/>
      <c r="AD375" s="331"/>
      <c r="AE375" s="331"/>
      <c r="AF375" s="331"/>
      <c r="AG375" s="331"/>
      <c r="AH375" s="331"/>
      <c r="AI375" s="331"/>
      <c r="AJ375" s="331"/>
      <c r="AK375" s="331"/>
      <c r="AL375" s="331"/>
      <c r="AM375" s="331"/>
      <c r="AN375" s="331"/>
      <c r="AO375" s="331">
        <f>+AO440</f>
        <v>0</v>
      </c>
      <c r="AP375" s="331">
        <f>+IF($F$10=0,AP440,0)</f>
        <v>0</v>
      </c>
      <c r="AQ375" s="331">
        <f>+IF($F$10=0,AQ440,IF($F$10=30,AQ440,0))</f>
        <v>0</v>
      </c>
      <c r="AR375" s="331">
        <f>+IF($F$10=0,AR440,IF($F$10=30,0,AR440))</f>
        <v>0</v>
      </c>
      <c r="AS375" s="331">
        <f>+IF($F$10=0,AS440,IF($F$10=30,AS440,0))</f>
        <v>0</v>
      </c>
      <c r="AT375" s="331">
        <f>+IF($F$10=0,AT440,0)</f>
        <v>0</v>
      </c>
      <c r="AU375" s="331">
        <f>+AU440</f>
        <v>0</v>
      </c>
      <c r="AV375" s="331">
        <f>+IF($F$10=0,AV440,0)</f>
        <v>0</v>
      </c>
      <c r="AW375" s="331">
        <f>+IF($F$10=0,AW440,IF($F$10=30,AW440,0))</f>
        <v>0</v>
      </c>
      <c r="AX375" s="331">
        <f>+IF($F$10=0,AX440,IF($F$10=30,0,AX440))</f>
        <v>0</v>
      </c>
      <c r="AY375" s="331">
        <f>+IF($F$10=0,AY440,IF($F$10=30,AY440,0))</f>
        <v>0</v>
      </c>
      <c r="AZ375" s="331">
        <f>+IF($F$10=0,AZ440,0)</f>
        <v>0</v>
      </c>
      <c r="BA375" s="331">
        <f>+BA440</f>
        <v>0</v>
      </c>
      <c r="BB375" s="331">
        <f>+IF($F$10=0,BB440,0)</f>
        <v>0</v>
      </c>
      <c r="BC375" s="331">
        <f>+IF($F$10=0,BC440,IF($F$10=30,BC440,0))</f>
        <v>0</v>
      </c>
      <c r="BD375" s="331">
        <f>+IF($F$10=0,BD440,IF($F$10=30,0,BD440))</f>
        <v>0</v>
      </c>
      <c r="BE375" s="331">
        <f>+IF($F$10=0,BE440,IF($F$10=30,BE440,0))</f>
        <v>0</v>
      </c>
      <c r="BF375" s="331">
        <f>+IF($F$10=0,BF440,0)</f>
        <v>0</v>
      </c>
      <c r="BG375" s="331">
        <f>+BG440</f>
        <v>0</v>
      </c>
      <c r="BH375" s="331">
        <f>+IF($F$10=0,BH440,0)</f>
        <v>0</v>
      </c>
      <c r="BI375" s="331">
        <f>+IF($F$10=0,BI440,IF($F$10=30,BI440,0))</f>
        <v>0</v>
      </c>
      <c r="BJ375" s="331">
        <f>+IF($F$10=0,BJ440,IF($F$10=30,0,BJ440))</f>
        <v>0</v>
      </c>
      <c r="BK375" s="331">
        <f>+IF($F$10=0,BK440,IF($F$10=30,BK440,0))</f>
        <v>0</v>
      </c>
      <c r="BL375" s="331">
        <f>+IF($F$10=0,BL440,0)</f>
        <v>0</v>
      </c>
      <c r="BM375" s="331">
        <f>+BM440</f>
        <v>0</v>
      </c>
      <c r="BN375" s="331"/>
      <c r="BO375" s="331"/>
      <c r="BP375" s="331"/>
      <c r="BQ375" s="331"/>
      <c r="BR375" s="331"/>
      <c r="BS375" s="331"/>
      <c r="BT375" s="331"/>
      <c r="BU375" s="331"/>
      <c r="BV375" s="331"/>
      <c r="BW375" s="331"/>
      <c r="BX375" s="331"/>
      <c r="BY375" s="331"/>
      <c r="BZ375" s="331"/>
      <c r="CA375" s="331"/>
      <c r="CB375" s="331"/>
      <c r="CC375" s="331"/>
      <c r="CD375" s="331"/>
      <c r="CE375" s="331"/>
      <c r="CF375" s="331"/>
      <c r="CG375" s="331"/>
      <c r="CH375" s="331"/>
      <c r="CI375" s="331"/>
      <c r="CJ375" s="331"/>
      <c r="CK375" s="331"/>
      <c r="CL375" s="331"/>
      <c r="CM375" s="331"/>
      <c r="CN375" s="331"/>
      <c r="CO375" s="331"/>
      <c r="CP375" s="331"/>
      <c r="CQ375" s="331"/>
      <c r="CR375" s="331"/>
      <c r="CS375" s="331"/>
      <c r="CT375" s="331"/>
      <c r="CU375" s="331"/>
      <c r="CV375" s="331"/>
    </row>
    <row r="376" spans="5:101" ht="15.75">
      <c r="E376" s="416">
        <f t="shared" si="207"/>
        <v>44582</v>
      </c>
      <c r="F376" s="331"/>
      <c r="K376" s="331"/>
      <c r="M376" s="331"/>
      <c r="Y376" s="331"/>
      <c r="Z376" s="331"/>
      <c r="AA376" s="331"/>
      <c r="AB376" s="331"/>
      <c r="AC376" s="331"/>
      <c r="AD376" s="331"/>
      <c r="AE376" s="331"/>
      <c r="AF376" s="331"/>
      <c r="AG376" s="331"/>
      <c r="AH376" s="331"/>
      <c r="AI376" s="331"/>
      <c r="AJ376" s="331"/>
      <c r="AK376" s="331"/>
      <c r="AL376" s="331"/>
      <c r="AM376" s="331"/>
      <c r="AN376" s="331"/>
      <c r="AO376" s="331"/>
      <c r="AP376" s="331">
        <f>+AP441</f>
        <v>0</v>
      </c>
      <c r="AQ376" s="331">
        <f>+IF($F$10=0,AQ441,0)</f>
        <v>0</v>
      </c>
      <c r="AR376" s="331">
        <f>+IF($F$10=0,AR441,IF($F$10=30,AR441,0))</f>
        <v>0</v>
      </c>
      <c r="AS376" s="331">
        <f>+IF($F$10=0,AS441,IF($F$10=30,0,AS441))</f>
        <v>0</v>
      </c>
      <c r="AT376" s="331">
        <f>+IF($F$10=0,AT441,IF($F$10=30,AT441,0))</f>
        <v>0</v>
      </c>
      <c r="AU376" s="331">
        <f>+IF($F$10=0,AU441,0)</f>
        <v>0</v>
      </c>
      <c r="AV376" s="331">
        <f>+AV441</f>
        <v>0</v>
      </c>
      <c r="AW376" s="331">
        <f>+IF($F$10=0,AW441,0)</f>
        <v>0</v>
      </c>
      <c r="AX376" s="331">
        <f>+IF($F$10=0,AX441,IF($F$10=30,AX441,0))</f>
        <v>0</v>
      </c>
      <c r="AY376" s="331">
        <f>+IF($F$10=0,AY441,IF($F$10=30,0,AY441))</f>
        <v>0</v>
      </c>
      <c r="AZ376" s="331">
        <f>+IF($F$10=0,AZ441,IF($F$10=30,AZ441,0))</f>
        <v>0</v>
      </c>
      <c r="BA376" s="331">
        <f>+IF($F$10=0,BA441,0)</f>
        <v>0</v>
      </c>
      <c r="BB376" s="331">
        <f>+BB441</f>
        <v>0</v>
      </c>
      <c r="BC376" s="331">
        <f>+IF($F$10=0,BC441,0)</f>
        <v>0</v>
      </c>
      <c r="BD376" s="331">
        <f>+IF($F$10=0,BD441,IF($F$10=30,BD441,0))</f>
        <v>0</v>
      </c>
      <c r="BE376" s="331">
        <f>+IF($F$10=0,BE441,IF($F$10=30,0,BE441))</f>
        <v>0</v>
      </c>
      <c r="BF376" s="331">
        <f>+IF($F$10=0,BF441,IF($F$10=30,BF441,0))</f>
        <v>0</v>
      </c>
      <c r="BG376" s="331">
        <f>+IF($F$10=0,BG441,0)</f>
        <v>0</v>
      </c>
      <c r="BH376" s="331">
        <f>+BH441</f>
        <v>0</v>
      </c>
      <c r="BI376" s="331">
        <f>+IF($F$10=0,BI441,0)</f>
        <v>0</v>
      </c>
      <c r="BJ376" s="331">
        <f>+IF($F$10=0,BJ441,IF($F$10=30,BJ441,0))</f>
        <v>0</v>
      </c>
      <c r="BK376" s="331">
        <f>+IF($F$10=0,BK441,IF($F$10=30,0,BK441))</f>
        <v>0</v>
      </c>
      <c r="BL376" s="331">
        <f>+IF($F$10=0,BL441,IF($F$10=30,BL441,0))</f>
        <v>0</v>
      </c>
      <c r="BM376" s="331">
        <f>+IF($F$10=0,BM441,0)</f>
        <v>0</v>
      </c>
      <c r="BN376" s="331"/>
      <c r="BO376" s="331"/>
      <c r="BP376" s="331"/>
      <c r="BQ376" s="331"/>
      <c r="BR376" s="331"/>
      <c r="BS376" s="331"/>
      <c r="BT376" s="331"/>
      <c r="BU376" s="331"/>
      <c r="BV376" s="331"/>
      <c r="BW376" s="331"/>
      <c r="BX376" s="331"/>
      <c r="BY376" s="331"/>
      <c r="BZ376" s="331"/>
      <c r="CA376" s="331"/>
      <c r="CB376" s="331"/>
      <c r="CC376" s="331"/>
      <c r="CD376" s="331"/>
      <c r="CE376" s="331"/>
      <c r="CF376" s="331"/>
      <c r="CG376" s="331"/>
      <c r="CH376" s="331"/>
      <c r="CI376" s="331"/>
      <c r="CJ376" s="331"/>
      <c r="CK376" s="331"/>
      <c r="CL376" s="331"/>
      <c r="CM376" s="331"/>
      <c r="CN376" s="331"/>
      <c r="CO376" s="331"/>
      <c r="CP376" s="331"/>
      <c r="CQ376" s="331"/>
      <c r="CR376" s="331"/>
      <c r="CS376" s="331"/>
      <c r="CT376" s="331"/>
      <c r="CU376" s="331"/>
      <c r="CV376" s="331"/>
      <c r="CW376" s="331"/>
    </row>
    <row r="377" spans="5:102" ht="15.75">
      <c r="E377" s="416">
        <f t="shared" si="207"/>
        <v>44613</v>
      </c>
      <c r="F377" s="331"/>
      <c r="K377" s="331"/>
      <c r="M377" s="331"/>
      <c r="Y377" s="331"/>
      <c r="Z377" s="331"/>
      <c r="AA377" s="331"/>
      <c r="AB377" s="331"/>
      <c r="AC377" s="331"/>
      <c r="AD377" s="331"/>
      <c r="AE377" s="331"/>
      <c r="AF377" s="331"/>
      <c r="AG377" s="331"/>
      <c r="AH377" s="331"/>
      <c r="AI377" s="331"/>
      <c r="AJ377" s="331"/>
      <c r="AK377" s="331"/>
      <c r="AL377" s="331"/>
      <c r="AM377" s="331"/>
      <c r="AN377" s="331"/>
      <c r="AO377" s="331"/>
      <c r="AP377" s="331"/>
      <c r="AQ377" s="331">
        <f>+AQ442</f>
        <v>0</v>
      </c>
      <c r="AR377" s="331">
        <f>+IF($F$10=0,AR442,0)</f>
        <v>0</v>
      </c>
      <c r="AS377" s="331">
        <f>+IF($F$10=0,AS442,IF($F$10=30,AS442,0))</f>
        <v>0</v>
      </c>
      <c r="AT377" s="331">
        <f>+IF($F$10=0,AT442,IF($F$10=30,0,AT442))</f>
        <v>0</v>
      </c>
      <c r="AU377" s="331">
        <f>+IF($F$10=0,AU442,IF($F$10=30,AU442,0))</f>
        <v>0</v>
      </c>
      <c r="AV377" s="331">
        <f>+IF($F$10=0,AV442,0)</f>
        <v>0</v>
      </c>
      <c r="AW377" s="331">
        <f>+AW442</f>
        <v>0</v>
      </c>
      <c r="AX377" s="331">
        <f>+IF($F$10=0,AX442,0)</f>
        <v>0</v>
      </c>
      <c r="AY377" s="331">
        <f>+IF($F$10=0,AY442,IF($F$10=30,AY442,0))</f>
        <v>0</v>
      </c>
      <c r="AZ377" s="331">
        <f>+IF($F$10=0,AZ442,IF($F$10=30,0,AZ442))</f>
        <v>0</v>
      </c>
      <c r="BA377" s="331">
        <f>+IF($F$10=0,BA442,IF($F$10=30,BA442,0))</f>
        <v>0</v>
      </c>
      <c r="BB377" s="331">
        <f>+IF($F$10=0,BB442,0)</f>
        <v>0</v>
      </c>
      <c r="BC377" s="331">
        <f>+BC442</f>
        <v>0</v>
      </c>
      <c r="BD377" s="331">
        <f>+IF($F$10=0,BD442,0)</f>
        <v>0</v>
      </c>
      <c r="BE377" s="331">
        <f>+IF($F$10=0,BE442,IF($F$10=30,BE442,0))</f>
        <v>0</v>
      </c>
      <c r="BF377" s="331">
        <f>+IF($F$10=0,BF442,IF($F$10=30,0,BF442))</f>
        <v>0</v>
      </c>
      <c r="BG377" s="331">
        <f>+IF($F$10=0,BG442,IF($F$10=30,BG442,0))</f>
        <v>0</v>
      </c>
      <c r="BH377" s="331">
        <f>+IF($F$10=0,BH442,0)</f>
        <v>0</v>
      </c>
      <c r="BI377" s="331">
        <f>+BI442</f>
        <v>0</v>
      </c>
      <c r="BJ377" s="331">
        <f>+IF($F$10=0,BJ442,0)</f>
        <v>0</v>
      </c>
      <c r="BK377" s="331">
        <f>+IF($F$10=0,BK442,IF($F$10=30,BK442,0))</f>
        <v>0</v>
      </c>
      <c r="BL377" s="331">
        <f>+IF($F$10=0,BL442,IF($F$10=30,0,BL442))</f>
        <v>0</v>
      </c>
      <c r="BM377" s="331">
        <f>+IF($F$10=0,BM442,IF($F$10=30,BM442,0))</f>
        <v>0</v>
      </c>
      <c r="BN377" s="331"/>
      <c r="BO377" s="331"/>
      <c r="BP377" s="331"/>
      <c r="BQ377" s="331"/>
      <c r="BR377" s="331"/>
      <c r="BS377" s="331"/>
      <c r="BT377" s="331"/>
      <c r="BU377" s="331"/>
      <c r="BV377" s="331"/>
      <c r="BW377" s="331"/>
      <c r="BX377" s="331"/>
      <c r="BY377" s="331"/>
      <c r="BZ377" s="331"/>
      <c r="CA377" s="331"/>
      <c r="CB377" s="331"/>
      <c r="CC377" s="331"/>
      <c r="CD377" s="331"/>
      <c r="CE377" s="331"/>
      <c r="CF377" s="331"/>
      <c r="CG377" s="331"/>
      <c r="CH377" s="331"/>
      <c r="CI377" s="331"/>
      <c r="CJ377" s="331"/>
      <c r="CK377" s="331"/>
      <c r="CL377" s="331"/>
      <c r="CM377" s="331"/>
      <c r="CN377" s="331"/>
      <c r="CO377" s="331"/>
      <c r="CP377" s="331"/>
      <c r="CQ377" s="331"/>
      <c r="CR377" s="331"/>
      <c r="CS377" s="331"/>
      <c r="CT377" s="331"/>
      <c r="CU377" s="331"/>
      <c r="CV377" s="331"/>
      <c r="CW377" s="331"/>
      <c r="CX377" s="331"/>
    </row>
    <row r="378" spans="5:103" ht="15.75">
      <c r="E378" s="416">
        <f t="shared" si="207"/>
        <v>44644</v>
      </c>
      <c r="F378" s="331"/>
      <c r="K378" s="331"/>
      <c r="M378" s="331"/>
      <c r="Y378" s="331"/>
      <c r="Z378" s="331"/>
      <c r="AA378" s="331"/>
      <c r="AB378" s="331"/>
      <c r="AC378" s="331"/>
      <c r="AD378" s="331"/>
      <c r="AE378" s="331"/>
      <c r="AF378" s="331"/>
      <c r="AG378" s="331"/>
      <c r="AH378" s="331"/>
      <c r="AI378" s="331"/>
      <c r="AJ378" s="331"/>
      <c r="AK378" s="331"/>
      <c r="AL378" s="331"/>
      <c r="AM378" s="331"/>
      <c r="AN378" s="331"/>
      <c r="AO378" s="331"/>
      <c r="AP378" s="331"/>
      <c r="AQ378" s="331"/>
      <c r="AR378" s="331">
        <f>+AR443</f>
        <v>0</v>
      </c>
      <c r="AS378" s="331">
        <f>+IF($F$10=0,AS443,0)</f>
        <v>0</v>
      </c>
      <c r="AT378" s="331">
        <f>+IF($F$10=0,AT443,IF($F$10=30,AT443,0))</f>
        <v>0</v>
      </c>
      <c r="AU378" s="331">
        <f>+IF($F$10=0,AU443,IF($F$10=30,0,AU443))</f>
        <v>0</v>
      </c>
      <c r="AV378" s="331">
        <f>+IF($F$10=0,AV443,IF($F$10=30,AV443,0))</f>
        <v>0</v>
      </c>
      <c r="AW378" s="331">
        <f>+IF($F$10=0,AW443,0)</f>
        <v>0</v>
      </c>
      <c r="AX378" s="331">
        <f>+AX443</f>
        <v>0</v>
      </c>
      <c r="AY378" s="331">
        <f>+IF($F$10=0,AY443,0)</f>
        <v>0</v>
      </c>
      <c r="AZ378" s="331">
        <f>+IF($F$10=0,AZ443,IF($F$10=30,AZ443,0))</f>
        <v>0</v>
      </c>
      <c r="BA378" s="331">
        <f>+IF($F$10=0,BA443,IF($F$10=30,0,BA443))</f>
        <v>0</v>
      </c>
      <c r="BB378" s="331">
        <f>+IF($F$10=0,BB443,IF($F$10=30,BB443,0))</f>
        <v>0</v>
      </c>
      <c r="BC378" s="331">
        <f>+IF($F$10=0,BC443,0)</f>
        <v>0</v>
      </c>
      <c r="BD378" s="331">
        <f>+BD443</f>
        <v>0</v>
      </c>
      <c r="BE378" s="331">
        <f>+IF($F$10=0,BE443,0)</f>
        <v>0</v>
      </c>
      <c r="BF378" s="331">
        <f>+IF($F$10=0,BF443,IF($F$10=30,BF443,0))</f>
        <v>0</v>
      </c>
      <c r="BG378" s="331">
        <f>+IF($F$10=0,BG443,IF($F$10=30,0,BG443))</f>
        <v>0</v>
      </c>
      <c r="BH378" s="331">
        <f>+IF($F$10=0,BH443,IF($F$10=30,BH443,0))</f>
        <v>0</v>
      </c>
      <c r="BI378" s="331">
        <f>+IF($F$10=0,BI443,0)</f>
        <v>0</v>
      </c>
      <c r="BJ378" s="331">
        <f>+BJ443</f>
        <v>0</v>
      </c>
      <c r="BK378" s="331">
        <f>+IF($F$10=0,BK443,0)</f>
        <v>0</v>
      </c>
      <c r="BL378" s="331">
        <f>+IF($F$10=0,BL443,IF($F$10=30,BL443,0))</f>
        <v>0</v>
      </c>
      <c r="BM378" s="331">
        <f>+IF($F$10=0,BM443,IF($F$10=30,0,BM443))</f>
        <v>0</v>
      </c>
      <c r="BN378" s="331"/>
      <c r="BO378" s="331"/>
      <c r="BP378" s="331"/>
      <c r="BQ378" s="331"/>
      <c r="BR378" s="331"/>
      <c r="BS378" s="331"/>
      <c r="BT378" s="331"/>
      <c r="BU378" s="331"/>
      <c r="BV378" s="331"/>
      <c r="BW378" s="331"/>
      <c r="BX378" s="331"/>
      <c r="BY378" s="331"/>
      <c r="BZ378" s="331"/>
      <c r="CA378" s="331"/>
      <c r="CB378" s="331"/>
      <c r="CC378" s="331"/>
      <c r="CD378" s="331"/>
      <c r="CE378" s="331"/>
      <c r="CF378" s="331"/>
      <c r="CG378" s="331"/>
      <c r="CH378" s="331"/>
      <c r="CI378" s="331"/>
      <c r="CJ378" s="331"/>
      <c r="CK378" s="331"/>
      <c r="CL378" s="331"/>
      <c r="CM378" s="331"/>
      <c r="CN378" s="331"/>
      <c r="CO378" s="331"/>
      <c r="CP378" s="331"/>
      <c r="CQ378" s="331"/>
      <c r="CR378" s="331"/>
      <c r="CS378" s="331"/>
      <c r="CT378" s="331"/>
      <c r="CU378" s="331"/>
      <c r="CV378" s="331"/>
      <c r="CW378" s="331"/>
      <c r="CX378" s="331"/>
      <c r="CY378" s="331"/>
    </row>
    <row r="379" spans="5:104" ht="15.75">
      <c r="E379" s="416">
        <f t="shared" si="207"/>
        <v>44675</v>
      </c>
      <c r="F379" s="331"/>
      <c r="K379" s="331"/>
      <c r="M379" s="331"/>
      <c r="Y379" s="331"/>
      <c r="Z379" s="331"/>
      <c r="AA379" s="331"/>
      <c r="AB379" s="331"/>
      <c r="AC379" s="331"/>
      <c r="AD379" s="331"/>
      <c r="AE379" s="331"/>
      <c r="AF379" s="331"/>
      <c r="AG379" s="331"/>
      <c r="AH379" s="331"/>
      <c r="AI379" s="331"/>
      <c r="AJ379" s="331"/>
      <c r="AK379" s="331"/>
      <c r="AL379" s="331"/>
      <c r="AM379" s="331"/>
      <c r="AN379" s="331"/>
      <c r="AO379" s="331"/>
      <c r="AP379" s="331"/>
      <c r="AQ379" s="331"/>
      <c r="AR379" s="331"/>
      <c r="AS379" s="331">
        <f>+AS444</f>
        <v>0</v>
      </c>
      <c r="AT379" s="331">
        <f>+IF($F$10=0,AT444,0)</f>
        <v>0</v>
      </c>
      <c r="AU379" s="331">
        <f>+IF($F$10=0,AU444,IF($F$10=30,AU444,0))</f>
        <v>0</v>
      </c>
      <c r="AV379" s="331">
        <f>+IF($F$10=0,AV444,IF($F$10=30,0,AV444))</f>
        <v>0</v>
      </c>
      <c r="AW379" s="331">
        <f>+IF($F$10=0,AW444,IF($F$10=30,AW444,0))</f>
        <v>0</v>
      </c>
      <c r="AX379" s="331">
        <f>+IF($F$10=0,AX444,0)</f>
        <v>0</v>
      </c>
      <c r="AY379" s="331">
        <f>+AY444</f>
        <v>0</v>
      </c>
      <c r="AZ379" s="331">
        <f>+IF($F$10=0,AZ444,0)</f>
        <v>0</v>
      </c>
      <c r="BA379" s="331">
        <f>+IF($F$10=0,BA444,IF($F$10=30,BA444,0))</f>
        <v>0</v>
      </c>
      <c r="BB379" s="331">
        <f>+IF($F$10=0,BB444,IF($F$10=30,0,BB444))</f>
        <v>0</v>
      </c>
      <c r="BC379" s="331">
        <f>+IF($F$10=0,BC444,IF($F$10=30,BC444,0))</f>
        <v>0</v>
      </c>
      <c r="BD379" s="331">
        <f>+IF($F$10=0,BD444,0)</f>
        <v>0</v>
      </c>
      <c r="BE379" s="331">
        <f>+BE444</f>
        <v>0</v>
      </c>
      <c r="BF379" s="331">
        <f>+IF($F$10=0,BF444,0)</f>
        <v>0</v>
      </c>
      <c r="BG379" s="331">
        <f>+IF($F$10=0,BG444,IF($F$10=30,BG444,0))</f>
        <v>0</v>
      </c>
      <c r="BH379" s="331">
        <f>+IF($F$10=0,BH444,IF($F$10=30,0,BH444))</f>
        <v>0</v>
      </c>
      <c r="BI379" s="331">
        <f>+IF($F$10=0,BI444,IF($F$10=30,BI444,0))</f>
        <v>0</v>
      </c>
      <c r="BJ379" s="331">
        <f>+IF($F$10=0,BJ444,0)</f>
        <v>0</v>
      </c>
      <c r="BK379" s="331">
        <f>+BK444</f>
        <v>0</v>
      </c>
      <c r="BL379" s="331">
        <f>+IF($F$10=0,BL444,0)</f>
        <v>0</v>
      </c>
      <c r="BM379" s="331">
        <f>+IF($F$10=0,BM444,IF($F$10=30,BM444,0))</f>
        <v>0</v>
      </c>
      <c r="BN379" s="331"/>
      <c r="BO379" s="331"/>
      <c r="BP379" s="331"/>
      <c r="BQ379" s="331"/>
      <c r="BR379" s="331"/>
      <c r="BS379" s="331"/>
      <c r="BT379" s="331"/>
      <c r="BU379" s="331"/>
      <c r="BV379" s="331"/>
      <c r="BW379" s="331"/>
      <c r="BX379" s="331"/>
      <c r="BY379" s="331"/>
      <c r="BZ379" s="331"/>
      <c r="CA379" s="331"/>
      <c r="CB379" s="331"/>
      <c r="CC379" s="331"/>
      <c r="CD379" s="331"/>
      <c r="CE379" s="331"/>
      <c r="CF379" s="331"/>
      <c r="CG379" s="331"/>
      <c r="CH379" s="331"/>
      <c r="CI379" s="331"/>
      <c r="CJ379" s="331"/>
      <c r="CK379" s="331"/>
      <c r="CL379" s="331"/>
      <c r="CM379" s="331"/>
      <c r="CN379" s="331"/>
      <c r="CO379" s="331"/>
      <c r="CP379" s="331"/>
      <c r="CQ379" s="331"/>
      <c r="CR379" s="331"/>
      <c r="CS379" s="331"/>
      <c r="CT379" s="331"/>
      <c r="CU379" s="331"/>
      <c r="CV379" s="331"/>
      <c r="CW379" s="331"/>
      <c r="CX379" s="331"/>
      <c r="CY379" s="331"/>
      <c r="CZ379" s="331"/>
    </row>
    <row r="380" spans="5:105" ht="15.75">
      <c r="E380" s="416">
        <f t="shared" si="207"/>
        <v>44706</v>
      </c>
      <c r="F380" s="331"/>
      <c r="K380" s="331"/>
      <c r="M380" s="331"/>
      <c r="Y380" s="331"/>
      <c r="Z380" s="331"/>
      <c r="AA380" s="331"/>
      <c r="AB380" s="331"/>
      <c r="AC380" s="331"/>
      <c r="AD380" s="331"/>
      <c r="AE380" s="331"/>
      <c r="AF380" s="331"/>
      <c r="AG380" s="331"/>
      <c r="AH380" s="331"/>
      <c r="AI380" s="331"/>
      <c r="AJ380" s="331"/>
      <c r="AK380" s="331"/>
      <c r="AL380" s="331"/>
      <c r="AM380" s="331"/>
      <c r="AN380" s="331"/>
      <c r="AO380" s="331"/>
      <c r="AP380" s="331"/>
      <c r="AQ380" s="331"/>
      <c r="AR380" s="331"/>
      <c r="AS380" s="331"/>
      <c r="AT380" s="331">
        <f>+AT445</f>
        <v>0</v>
      </c>
      <c r="AU380" s="331">
        <f>+IF($F$10=0,AU445,0)</f>
        <v>0</v>
      </c>
      <c r="AV380" s="331">
        <f>+IF($F$10=0,AV445,IF($F$10=30,AV445,0))</f>
        <v>0</v>
      </c>
      <c r="AW380" s="331">
        <f>+IF($F$10=0,AW445,IF($F$10=30,0,AW445))</f>
        <v>0</v>
      </c>
      <c r="AX380" s="331">
        <f>+IF($F$10=0,AX445,IF($F$10=30,AX445,0))</f>
        <v>0</v>
      </c>
      <c r="AY380" s="331">
        <f>+IF($F$10=0,AY445,0)</f>
        <v>0</v>
      </c>
      <c r="AZ380" s="331">
        <f>+AZ445</f>
        <v>0</v>
      </c>
      <c r="BA380" s="331">
        <f>+IF($F$10=0,BA445,0)</f>
        <v>0</v>
      </c>
      <c r="BB380" s="331">
        <f>+IF($F$10=0,BB445,IF($F$10=30,BB445,0))</f>
        <v>0</v>
      </c>
      <c r="BC380" s="331">
        <f>+IF($F$10=0,BC445,IF($F$10=30,0,BC445))</f>
        <v>0</v>
      </c>
      <c r="BD380" s="331">
        <f>+IF($F$10=0,BD445,IF($F$10=30,BD445,0))</f>
        <v>0</v>
      </c>
      <c r="BE380" s="331">
        <f>+IF($F$10=0,BE445,0)</f>
        <v>0</v>
      </c>
      <c r="BF380" s="331">
        <f>+BF445</f>
        <v>0</v>
      </c>
      <c r="BG380" s="331">
        <f>+IF($F$10=0,BG445,0)</f>
        <v>0</v>
      </c>
      <c r="BH380" s="331">
        <f>+IF($F$10=0,BH445,IF($F$10=30,BH445,0))</f>
        <v>0</v>
      </c>
      <c r="BI380" s="331">
        <f>+IF($F$10=0,BI445,IF($F$10=30,0,BI445))</f>
        <v>0</v>
      </c>
      <c r="BJ380" s="331">
        <f>+IF($F$10=0,BJ445,IF($F$10=30,BJ445,0))</f>
        <v>0</v>
      </c>
      <c r="BK380" s="331">
        <f>+IF($F$10=0,BK445,0)</f>
        <v>0</v>
      </c>
      <c r="BL380" s="331">
        <f>+BL445</f>
        <v>0</v>
      </c>
      <c r="BM380" s="331">
        <f>+IF($F$10=0,BM445,0)</f>
        <v>0</v>
      </c>
      <c r="BN380" s="331"/>
      <c r="BO380" s="331"/>
      <c r="BP380" s="331"/>
      <c r="BQ380" s="331"/>
      <c r="BR380" s="331"/>
      <c r="BS380" s="331"/>
      <c r="BT380" s="331"/>
      <c r="BU380" s="331"/>
      <c r="BV380" s="331"/>
      <c r="BW380" s="331"/>
      <c r="BX380" s="331"/>
      <c r="BY380" s="331"/>
      <c r="BZ380" s="331"/>
      <c r="CA380" s="331"/>
      <c r="CB380" s="331"/>
      <c r="CC380" s="331"/>
      <c r="CD380" s="331"/>
      <c r="CE380" s="331"/>
      <c r="CF380" s="331"/>
      <c r="CG380" s="331"/>
      <c r="CH380" s="331"/>
      <c r="CI380" s="331"/>
      <c r="CJ380" s="331"/>
      <c r="CK380" s="331"/>
      <c r="CL380" s="331"/>
      <c r="CM380" s="331"/>
      <c r="CN380" s="331"/>
      <c r="CO380" s="331"/>
      <c r="CP380" s="331"/>
      <c r="CQ380" s="331"/>
      <c r="CR380" s="331"/>
      <c r="CS380" s="331"/>
      <c r="CT380" s="331"/>
      <c r="CU380" s="331"/>
      <c r="CV380" s="331"/>
      <c r="CW380" s="331"/>
      <c r="CX380" s="331"/>
      <c r="CY380" s="331"/>
      <c r="CZ380" s="331"/>
      <c r="DA380" s="331"/>
    </row>
    <row r="381" spans="5:106" ht="15.75">
      <c r="E381" s="416">
        <f t="shared" si="207"/>
        <v>44737</v>
      </c>
      <c r="F381" s="331"/>
      <c r="K381" s="331"/>
      <c r="M381" s="331"/>
      <c r="Y381" s="331"/>
      <c r="Z381" s="331"/>
      <c r="AA381" s="331"/>
      <c r="AB381" s="331"/>
      <c r="AC381" s="331"/>
      <c r="AD381" s="331"/>
      <c r="AE381" s="331"/>
      <c r="AF381" s="331"/>
      <c r="AG381" s="331"/>
      <c r="AH381" s="331"/>
      <c r="AI381" s="331"/>
      <c r="AJ381" s="331"/>
      <c r="AK381" s="331"/>
      <c r="AL381" s="331"/>
      <c r="AM381" s="331"/>
      <c r="AN381" s="331"/>
      <c r="AO381" s="331"/>
      <c r="AP381" s="331"/>
      <c r="AQ381" s="331"/>
      <c r="AR381" s="331"/>
      <c r="AS381" s="331"/>
      <c r="AT381" s="331"/>
      <c r="AU381" s="331">
        <f>+AU446</f>
        <v>0</v>
      </c>
      <c r="AV381" s="331">
        <f>+IF($F$10=0,AV446,0)</f>
        <v>0</v>
      </c>
      <c r="AW381" s="331">
        <f>+IF($F$10=0,AW446,IF($F$10=30,AW446,0))</f>
        <v>0</v>
      </c>
      <c r="AX381" s="331">
        <f>+IF($F$10=0,AX446,IF($F$10=30,0,AX446))</f>
        <v>0</v>
      </c>
      <c r="AY381" s="331">
        <f>+IF($F$10=0,AY446,IF($F$10=30,AY446,0))</f>
        <v>0</v>
      </c>
      <c r="AZ381" s="331">
        <f>+IF($F$10=0,AZ446,0)</f>
        <v>0</v>
      </c>
      <c r="BA381" s="331">
        <f>+BA446</f>
        <v>0</v>
      </c>
      <c r="BB381" s="331">
        <f>+IF($F$10=0,BB446,0)</f>
        <v>0</v>
      </c>
      <c r="BC381" s="331">
        <f>+IF($F$10=0,BC446,IF($F$10=30,BC446,0))</f>
        <v>0</v>
      </c>
      <c r="BD381" s="331">
        <f>+IF($F$10=0,BD446,IF($F$10=30,0,BD446))</f>
        <v>0</v>
      </c>
      <c r="BE381" s="331">
        <f>+IF($F$10=0,BE446,IF($F$10=30,BE446,0))</f>
        <v>0</v>
      </c>
      <c r="BF381" s="331">
        <f>+IF($F$10=0,BF446,0)</f>
        <v>0</v>
      </c>
      <c r="BG381" s="331">
        <f>+BG446</f>
        <v>0</v>
      </c>
      <c r="BH381" s="331">
        <f>+IF($F$10=0,BH446,0)</f>
        <v>0</v>
      </c>
      <c r="BI381" s="331">
        <f>+IF($F$10=0,BI446,IF($F$10=30,BI446,0))</f>
        <v>0</v>
      </c>
      <c r="BJ381" s="331">
        <f>+IF($F$10=0,BJ446,IF($F$10=30,0,BJ446))</f>
        <v>0</v>
      </c>
      <c r="BK381" s="331">
        <f>+IF($F$10=0,BK446,IF($F$10=30,BK446,0))</f>
        <v>0</v>
      </c>
      <c r="BL381" s="331">
        <f>+IF($F$10=0,BL446,0)</f>
        <v>0</v>
      </c>
      <c r="BM381" s="331">
        <f>+BM446</f>
        <v>0</v>
      </c>
      <c r="BN381" s="331"/>
      <c r="BO381" s="331"/>
      <c r="BP381" s="331"/>
      <c r="BQ381" s="331"/>
      <c r="BR381" s="331"/>
      <c r="BS381" s="331"/>
      <c r="BT381" s="331"/>
      <c r="BU381" s="331"/>
      <c r="BV381" s="331"/>
      <c r="BW381" s="331"/>
      <c r="BX381" s="331"/>
      <c r="BY381" s="331"/>
      <c r="BZ381" s="331"/>
      <c r="CA381" s="331"/>
      <c r="CB381" s="331"/>
      <c r="CC381" s="331"/>
      <c r="CD381" s="331"/>
      <c r="CE381" s="331"/>
      <c r="CF381" s="331"/>
      <c r="CG381" s="331"/>
      <c r="CH381" s="331"/>
      <c r="CI381" s="331"/>
      <c r="CJ381" s="331"/>
      <c r="CK381" s="331"/>
      <c r="CL381" s="331"/>
      <c r="CM381" s="331"/>
      <c r="CN381" s="331"/>
      <c r="CO381" s="331"/>
      <c r="CP381" s="331"/>
      <c r="CQ381" s="331"/>
      <c r="CR381" s="331"/>
      <c r="CS381" s="331"/>
      <c r="CT381" s="331"/>
      <c r="CU381" s="331"/>
      <c r="CV381" s="331"/>
      <c r="CW381" s="331"/>
      <c r="CX381" s="331"/>
      <c r="CY381" s="331"/>
      <c r="CZ381" s="331"/>
      <c r="DA381" s="331"/>
      <c r="DB381" s="331"/>
    </row>
    <row r="382" spans="5:107" ht="15.75">
      <c r="E382" s="416">
        <f t="shared" si="207"/>
        <v>44768</v>
      </c>
      <c r="F382" s="331"/>
      <c r="K382" s="331"/>
      <c r="M382" s="331"/>
      <c r="Y382" s="331"/>
      <c r="Z382" s="331"/>
      <c r="AA382" s="331"/>
      <c r="AB382" s="331"/>
      <c r="AC382" s="331"/>
      <c r="AD382" s="331"/>
      <c r="AE382" s="331"/>
      <c r="AF382" s="331"/>
      <c r="AG382" s="331"/>
      <c r="AH382" s="331"/>
      <c r="AI382" s="331"/>
      <c r="AJ382" s="331"/>
      <c r="AK382" s="331"/>
      <c r="AL382" s="331"/>
      <c r="AM382" s="331"/>
      <c r="AN382" s="331"/>
      <c r="AO382" s="331"/>
      <c r="AP382" s="331"/>
      <c r="AQ382" s="331"/>
      <c r="AR382" s="331"/>
      <c r="AS382" s="331"/>
      <c r="AT382" s="331"/>
      <c r="AU382" s="331"/>
      <c r="AV382" s="331">
        <f>+AV447</f>
        <v>0</v>
      </c>
      <c r="AW382" s="331">
        <f>+IF($F$10=0,AW447,0)</f>
        <v>0</v>
      </c>
      <c r="AX382" s="331">
        <f>+IF($F$10=0,AX447,IF($F$10=30,AX447,0))</f>
        <v>0</v>
      </c>
      <c r="AY382" s="331">
        <f>+IF($F$10=0,AY447,IF($F$10=30,0,AY447))</f>
        <v>0</v>
      </c>
      <c r="AZ382" s="331">
        <f>+IF($F$10=0,AZ447,IF($F$10=30,AZ447,0))</f>
        <v>0</v>
      </c>
      <c r="BA382" s="331">
        <f>+IF($F$10=0,BA447,0)</f>
        <v>0</v>
      </c>
      <c r="BB382" s="331">
        <f>+BB447</f>
        <v>0</v>
      </c>
      <c r="BC382" s="331">
        <f>+IF($F$10=0,BC447,0)</f>
        <v>0</v>
      </c>
      <c r="BD382" s="331">
        <f>+IF($F$10=0,BD447,IF($F$10=30,BD447,0))</f>
        <v>0</v>
      </c>
      <c r="BE382" s="331">
        <f>+IF($F$10=0,BE447,IF($F$10=30,0,BE447))</f>
        <v>0</v>
      </c>
      <c r="BF382" s="331">
        <f>+IF($F$10=0,BF447,IF($F$10=30,BF447,0))</f>
        <v>0</v>
      </c>
      <c r="BG382" s="331">
        <f>+IF($F$10=0,BG447,0)</f>
        <v>0</v>
      </c>
      <c r="BH382" s="331">
        <f>+BH447</f>
        <v>0</v>
      </c>
      <c r="BI382" s="331">
        <f>+IF($F$10=0,BI447,0)</f>
        <v>0</v>
      </c>
      <c r="BJ382" s="331">
        <f>+IF($F$10=0,BJ447,IF($F$10=30,BJ447,0))</f>
        <v>0</v>
      </c>
      <c r="BK382" s="331">
        <f>+IF($F$10=0,BK447,IF($F$10=30,0,BK447))</f>
        <v>0</v>
      </c>
      <c r="BL382" s="331">
        <f>+IF($F$10=0,BL447,IF($F$10=30,BL447,0))</f>
        <v>0</v>
      </c>
      <c r="BM382" s="331">
        <f>+IF($F$10=0,BM447,0)</f>
        <v>0</v>
      </c>
      <c r="BN382" s="331"/>
      <c r="BO382" s="331"/>
      <c r="BP382" s="331"/>
      <c r="BQ382" s="331"/>
      <c r="BR382" s="331"/>
      <c r="BS382" s="331"/>
      <c r="BT382" s="331"/>
      <c r="BU382" s="331"/>
      <c r="BV382" s="331"/>
      <c r="BW382" s="331"/>
      <c r="BX382" s="331"/>
      <c r="BY382" s="331"/>
      <c r="BZ382" s="331"/>
      <c r="CA382" s="331"/>
      <c r="CB382" s="331"/>
      <c r="CC382" s="331"/>
      <c r="CD382" s="331"/>
      <c r="CE382" s="331"/>
      <c r="CF382" s="331"/>
      <c r="CG382" s="331"/>
      <c r="CH382" s="331"/>
      <c r="CI382" s="331"/>
      <c r="CJ382" s="331"/>
      <c r="CK382" s="331"/>
      <c r="CL382" s="331"/>
      <c r="CM382" s="331"/>
      <c r="CN382" s="331"/>
      <c r="CO382" s="331"/>
      <c r="CP382" s="331"/>
      <c r="CQ382" s="331"/>
      <c r="CR382" s="331"/>
      <c r="CS382" s="331"/>
      <c r="CT382" s="331"/>
      <c r="CU382" s="331"/>
      <c r="CV382" s="331"/>
      <c r="CW382" s="331"/>
      <c r="CX382" s="331"/>
      <c r="CY382" s="331"/>
      <c r="CZ382" s="331"/>
      <c r="DA382" s="331"/>
      <c r="DB382" s="331"/>
      <c r="DC382" s="331"/>
    </row>
    <row r="383" spans="5:108" ht="15.75">
      <c r="E383" s="416">
        <f t="shared" si="207"/>
        <v>44799</v>
      </c>
      <c r="F383" s="331"/>
      <c r="K383" s="331"/>
      <c r="M383" s="331"/>
      <c r="Y383" s="331"/>
      <c r="Z383" s="331"/>
      <c r="AA383" s="331"/>
      <c r="AB383" s="331"/>
      <c r="AC383" s="331"/>
      <c r="AD383" s="331"/>
      <c r="AE383" s="331"/>
      <c r="AF383" s="331"/>
      <c r="AG383" s="331"/>
      <c r="AH383" s="331"/>
      <c r="AI383" s="331"/>
      <c r="AJ383" s="331"/>
      <c r="AK383" s="331"/>
      <c r="AL383" s="331"/>
      <c r="AM383" s="331"/>
      <c r="AN383" s="331"/>
      <c r="AO383" s="331"/>
      <c r="AP383" s="331"/>
      <c r="AQ383" s="331"/>
      <c r="AR383" s="331"/>
      <c r="AS383" s="331"/>
      <c r="AT383" s="331"/>
      <c r="AU383" s="331"/>
      <c r="AV383" s="331"/>
      <c r="AW383" s="331">
        <f>+AW448</f>
        <v>0</v>
      </c>
      <c r="AX383" s="331">
        <f>+IF($F$10=0,AX448,0)</f>
        <v>0</v>
      </c>
      <c r="AY383" s="331">
        <f>+IF($F$10=0,AY448,IF($F$10=30,AY448,0))</f>
        <v>0</v>
      </c>
      <c r="AZ383" s="331">
        <f>+IF($F$10=0,AZ448,IF($F$10=30,0,AZ448))</f>
        <v>0</v>
      </c>
      <c r="BA383" s="331">
        <f>+IF($F$10=0,BA448,IF($F$10=30,BA448,0))</f>
        <v>0</v>
      </c>
      <c r="BB383" s="331">
        <f>+IF($F$10=0,BB448,0)</f>
        <v>0</v>
      </c>
      <c r="BC383" s="331">
        <f>+BC448</f>
        <v>0</v>
      </c>
      <c r="BD383" s="331">
        <f>+IF($F$10=0,BD448,0)</f>
        <v>0</v>
      </c>
      <c r="BE383" s="331">
        <f>+IF($F$10=0,BE448,IF($F$10=30,BE448,0))</f>
        <v>0</v>
      </c>
      <c r="BF383" s="331">
        <f>+IF($F$10=0,BF448,IF($F$10=30,0,BF448))</f>
        <v>0</v>
      </c>
      <c r="BG383" s="331">
        <f>+IF($F$10=0,BG448,IF($F$10=30,BG448,0))</f>
        <v>0</v>
      </c>
      <c r="BH383" s="331">
        <f>+IF($F$10=0,BH448,0)</f>
        <v>0</v>
      </c>
      <c r="BI383" s="331">
        <f>+BI448</f>
        <v>0</v>
      </c>
      <c r="BJ383" s="331">
        <f>+IF($F$10=0,BJ448,0)</f>
        <v>0</v>
      </c>
      <c r="BK383" s="331">
        <f>+IF($F$10=0,BK448,IF($F$10=30,BK448,0))</f>
        <v>0</v>
      </c>
      <c r="BL383" s="331">
        <f>+IF($F$10=0,BL448,IF($F$10=30,0,BL448))</f>
        <v>0</v>
      </c>
      <c r="BM383" s="331">
        <f>+IF($F$10=0,BM448,IF($F$10=30,BM448,0))</f>
        <v>0</v>
      </c>
      <c r="BN383" s="331"/>
      <c r="BO383" s="331"/>
      <c r="BP383" s="331"/>
      <c r="BQ383" s="331"/>
      <c r="BR383" s="331"/>
      <c r="BS383" s="331"/>
      <c r="BT383" s="331"/>
      <c r="BU383" s="331"/>
      <c r="BV383" s="331"/>
      <c r="BW383" s="331"/>
      <c r="BX383" s="331"/>
      <c r="BY383" s="331"/>
      <c r="BZ383" s="331"/>
      <c r="CA383" s="331"/>
      <c r="CB383" s="331"/>
      <c r="CC383" s="331"/>
      <c r="CD383" s="331"/>
      <c r="CE383" s="331"/>
      <c r="CF383" s="331"/>
      <c r="CG383" s="331"/>
      <c r="CH383" s="331"/>
      <c r="CI383" s="331"/>
      <c r="CJ383" s="331"/>
      <c r="CK383" s="331"/>
      <c r="CL383" s="331"/>
      <c r="CM383" s="331"/>
      <c r="CN383" s="331"/>
      <c r="CO383" s="331"/>
      <c r="CP383" s="331"/>
      <c r="CQ383" s="331"/>
      <c r="CR383" s="331"/>
      <c r="CS383" s="331"/>
      <c r="CT383" s="331"/>
      <c r="CU383" s="331"/>
      <c r="CV383" s="331"/>
      <c r="CW383" s="331"/>
      <c r="CX383" s="331"/>
      <c r="CY383" s="331"/>
      <c r="CZ383" s="331"/>
      <c r="DA383" s="331"/>
      <c r="DB383" s="331"/>
      <c r="DC383" s="331"/>
      <c r="DD383" s="331"/>
    </row>
    <row r="384" spans="5:109" ht="15.75">
      <c r="E384" s="416">
        <f t="shared" si="207"/>
        <v>44830</v>
      </c>
      <c r="F384" s="331"/>
      <c r="K384" s="331"/>
      <c r="M384" s="331"/>
      <c r="Y384" s="331"/>
      <c r="Z384" s="331"/>
      <c r="AA384" s="331"/>
      <c r="AB384" s="331"/>
      <c r="AC384" s="331"/>
      <c r="AD384" s="331"/>
      <c r="AE384" s="331"/>
      <c r="AF384" s="331"/>
      <c r="AG384" s="331"/>
      <c r="AH384" s="331"/>
      <c r="AI384" s="331"/>
      <c r="AJ384" s="331"/>
      <c r="AK384" s="331"/>
      <c r="AL384" s="331"/>
      <c r="AM384" s="331"/>
      <c r="AN384" s="331"/>
      <c r="AO384" s="331"/>
      <c r="AP384" s="331"/>
      <c r="AQ384" s="331"/>
      <c r="AR384" s="331"/>
      <c r="AS384" s="331"/>
      <c r="AT384" s="331"/>
      <c r="AU384" s="331"/>
      <c r="AV384" s="331"/>
      <c r="AW384" s="331"/>
      <c r="AX384" s="331">
        <f>+AX449</f>
        <v>0</v>
      </c>
      <c r="AY384" s="331">
        <f>+IF($F$10=0,AY449,0)</f>
        <v>0</v>
      </c>
      <c r="AZ384" s="331">
        <f>+IF($F$10=0,AZ449,IF($F$10=30,AZ449,0))</f>
        <v>0</v>
      </c>
      <c r="BA384" s="331">
        <f>+IF($F$10=0,BA449,IF($F$10=30,0,BA449))</f>
        <v>0</v>
      </c>
      <c r="BB384" s="331">
        <f>+IF($F$10=0,BB449,IF($F$10=30,BB449,0))</f>
        <v>0</v>
      </c>
      <c r="BC384" s="331">
        <f>+IF($F$10=0,BC449,0)</f>
        <v>0</v>
      </c>
      <c r="BD384" s="331">
        <f>+BD449</f>
        <v>0</v>
      </c>
      <c r="BE384" s="331">
        <f>+IF($F$10=0,BE449,0)</f>
        <v>0</v>
      </c>
      <c r="BF384" s="331">
        <f>+IF($F$10=0,BF449,IF($F$10=30,BF449,0))</f>
        <v>0</v>
      </c>
      <c r="BG384" s="331">
        <f>+IF($F$10=0,BG449,IF($F$10=30,0,BG449))</f>
        <v>0</v>
      </c>
      <c r="BH384" s="331">
        <f>+IF($F$10=0,BH449,IF($F$10=30,BH449,0))</f>
        <v>0</v>
      </c>
      <c r="BI384" s="331">
        <f>+IF($F$10=0,BI449,0)</f>
        <v>0</v>
      </c>
      <c r="BJ384" s="331">
        <f>+BJ449</f>
        <v>0</v>
      </c>
      <c r="BK384" s="331">
        <f>+IF($F$10=0,BK449,0)</f>
        <v>0</v>
      </c>
      <c r="BL384" s="331">
        <f>+IF($F$10=0,BL449,IF($F$10=30,BL449,0))</f>
        <v>0</v>
      </c>
      <c r="BM384" s="331">
        <f>+IF($F$10=0,BM449,IF($F$10=30,0,BM449))</f>
        <v>0</v>
      </c>
      <c r="BN384" s="331"/>
      <c r="BO384" s="331"/>
      <c r="BP384" s="331"/>
      <c r="BQ384" s="331"/>
      <c r="BR384" s="331"/>
      <c r="BS384" s="331"/>
      <c r="BT384" s="331"/>
      <c r="BU384" s="331"/>
      <c r="BV384" s="331"/>
      <c r="BW384" s="331"/>
      <c r="BX384" s="331"/>
      <c r="BY384" s="331"/>
      <c r="BZ384" s="331"/>
      <c r="CA384" s="331"/>
      <c r="CB384" s="331"/>
      <c r="CC384" s="331"/>
      <c r="CD384" s="331"/>
      <c r="CE384" s="331"/>
      <c r="CF384" s="331"/>
      <c r="CG384" s="331"/>
      <c r="CH384" s="331"/>
      <c r="CI384" s="331"/>
      <c r="CJ384" s="331"/>
      <c r="CK384" s="331"/>
      <c r="CL384" s="331"/>
      <c r="CM384" s="331"/>
      <c r="CN384" s="331"/>
      <c r="CO384" s="331"/>
      <c r="CP384" s="331"/>
      <c r="CQ384" s="331"/>
      <c r="CR384" s="331"/>
      <c r="CS384" s="331"/>
      <c r="CT384" s="331"/>
      <c r="CU384" s="331"/>
      <c r="CV384" s="331"/>
      <c r="CW384" s="331"/>
      <c r="CX384" s="331"/>
      <c r="CY384" s="331"/>
      <c r="CZ384" s="331"/>
      <c r="DA384" s="331"/>
      <c r="DB384" s="331"/>
      <c r="DC384" s="331"/>
      <c r="DD384" s="331"/>
      <c r="DE384" s="331"/>
    </row>
    <row r="385" spans="5:110" ht="15.75">
      <c r="E385" s="416">
        <f t="shared" si="207"/>
        <v>44861</v>
      </c>
      <c r="F385" s="331"/>
      <c r="K385" s="331"/>
      <c r="M385" s="331"/>
      <c r="Y385" s="331"/>
      <c r="Z385" s="331"/>
      <c r="AA385" s="331"/>
      <c r="AB385" s="331"/>
      <c r="AC385" s="331"/>
      <c r="AD385" s="331"/>
      <c r="AE385" s="331"/>
      <c r="AF385" s="331"/>
      <c r="AG385" s="331"/>
      <c r="AH385" s="331"/>
      <c r="AI385" s="331"/>
      <c r="AJ385" s="331"/>
      <c r="AK385" s="331"/>
      <c r="AL385" s="331"/>
      <c r="AM385" s="331"/>
      <c r="AN385" s="331"/>
      <c r="AO385" s="331"/>
      <c r="AP385" s="331"/>
      <c r="AQ385" s="331"/>
      <c r="AR385" s="331"/>
      <c r="AS385" s="331"/>
      <c r="AT385" s="331"/>
      <c r="AU385" s="331"/>
      <c r="AV385" s="331"/>
      <c r="AW385" s="331"/>
      <c r="AX385" s="331"/>
      <c r="AY385" s="331">
        <f>+AY450</f>
        <v>0</v>
      </c>
      <c r="AZ385" s="331">
        <f>+IF($F$10=0,AZ450,0)</f>
        <v>0</v>
      </c>
      <c r="BA385" s="331">
        <f>+IF($F$10=0,BA450,IF($F$10=30,BA450,0))</f>
        <v>0</v>
      </c>
      <c r="BB385" s="331">
        <f>+IF($F$10=0,BB450,IF($F$10=30,0,BB450))</f>
        <v>0</v>
      </c>
      <c r="BC385" s="331">
        <f>+IF($F$10=0,BC450,IF($F$10=30,BC450,0))</f>
        <v>0</v>
      </c>
      <c r="BD385" s="331">
        <f>+IF($F$10=0,BD450,0)</f>
        <v>0</v>
      </c>
      <c r="BE385" s="331">
        <f>+BE450</f>
        <v>0</v>
      </c>
      <c r="BF385" s="331">
        <f>+IF($F$10=0,BF450,0)</f>
        <v>0</v>
      </c>
      <c r="BG385" s="331">
        <f>+IF($F$10=0,BG450,IF($F$10=30,BG450,0))</f>
        <v>0</v>
      </c>
      <c r="BH385" s="331">
        <f>+IF($F$10=0,BH450,IF($F$10=30,0,BH450))</f>
        <v>0</v>
      </c>
      <c r="BI385" s="331">
        <f>+IF($F$10=0,BI450,IF($F$10=30,BI450,0))</f>
        <v>0</v>
      </c>
      <c r="BJ385" s="331">
        <f>+IF($F$10=0,BJ450,0)</f>
        <v>0</v>
      </c>
      <c r="BK385" s="331">
        <f>+BK450</f>
        <v>0</v>
      </c>
      <c r="BL385" s="331">
        <f>+IF($F$10=0,BL450,0)</f>
        <v>0</v>
      </c>
      <c r="BM385" s="331">
        <f>+IF($F$10=0,BM450,IF($F$10=30,BM450,0))</f>
        <v>0</v>
      </c>
      <c r="BN385" s="331"/>
      <c r="BO385" s="331"/>
      <c r="BP385" s="331"/>
      <c r="BQ385" s="331"/>
      <c r="BR385" s="331"/>
      <c r="BS385" s="331"/>
      <c r="BT385" s="331"/>
      <c r="BU385" s="331"/>
      <c r="BV385" s="331"/>
      <c r="BW385" s="331"/>
      <c r="BX385" s="331"/>
      <c r="BY385" s="331"/>
      <c r="BZ385" s="331"/>
      <c r="CA385" s="331"/>
      <c r="CB385" s="331"/>
      <c r="CC385" s="331"/>
      <c r="CD385" s="331"/>
      <c r="CE385" s="331"/>
      <c r="CF385" s="331"/>
      <c r="CG385" s="331"/>
      <c r="CH385" s="331"/>
      <c r="CI385" s="331"/>
      <c r="CJ385" s="331"/>
      <c r="CK385" s="331"/>
      <c r="CL385" s="331"/>
      <c r="CM385" s="331"/>
      <c r="CN385" s="331"/>
      <c r="CO385" s="331"/>
      <c r="CP385" s="331"/>
      <c r="CQ385" s="331"/>
      <c r="CR385" s="331"/>
      <c r="CS385" s="331"/>
      <c r="CT385" s="331"/>
      <c r="CU385" s="331"/>
      <c r="CV385" s="331"/>
      <c r="CW385" s="331"/>
      <c r="CX385" s="331"/>
      <c r="CY385" s="331"/>
      <c r="CZ385" s="331"/>
      <c r="DA385" s="331"/>
      <c r="DB385" s="331"/>
      <c r="DC385" s="331"/>
      <c r="DD385" s="331"/>
      <c r="DE385" s="331"/>
      <c r="DF385" s="331"/>
    </row>
    <row r="386" spans="5:111" ht="15.75">
      <c r="E386" s="416">
        <f t="shared" si="207"/>
        <v>44892</v>
      </c>
      <c r="F386" s="331"/>
      <c r="K386" s="331"/>
      <c r="M386" s="331"/>
      <c r="Y386" s="331"/>
      <c r="Z386" s="331"/>
      <c r="AA386" s="331"/>
      <c r="AB386" s="331"/>
      <c r="AC386" s="331"/>
      <c r="AD386" s="331"/>
      <c r="AE386" s="331"/>
      <c r="AF386" s="331"/>
      <c r="AG386" s="331"/>
      <c r="AH386" s="331"/>
      <c r="AI386" s="331"/>
      <c r="AJ386" s="331"/>
      <c r="AK386" s="331"/>
      <c r="AL386" s="331"/>
      <c r="AM386" s="331"/>
      <c r="AN386" s="331"/>
      <c r="AO386" s="331"/>
      <c r="AP386" s="331"/>
      <c r="AQ386" s="331"/>
      <c r="AR386" s="331"/>
      <c r="AS386" s="331"/>
      <c r="AT386" s="331"/>
      <c r="AU386" s="331"/>
      <c r="AV386" s="331"/>
      <c r="AW386" s="331"/>
      <c r="AX386" s="331"/>
      <c r="AY386" s="331"/>
      <c r="AZ386" s="331">
        <f>+AZ451</f>
        <v>0</v>
      </c>
      <c r="BA386" s="331">
        <f>+IF($F$10=0,BA451,0)</f>
        <v>0</v>
      </c>
      <c r="BB386" s="331">
        <f>+IF($F$10=0,BB451,IF($F$10=30,BB451,0))</f>
        <v>0</v>
      </c>
      <c r="BC386" s="331">
        <f>+IF($F$10=0,BC451,IF($F$10=30,0,BC451))</f>
        <v>0</v>
      </c>
      <c r="BD386" s="331">
        <f>+IF($F$10=0,BD451,IF($F$10=30,BD451,0))</f>
        <v>0</v>
      </c>
      <c r="BE386" s="331">
        <f>+IF($F$10=0,BE451,0)</f>
        <v>0</v>
      </c>
      <c r="BF386" s="331">
        <f>+BF451</f>
        <v>0</v>
      </c>
      <c r="BG386" s="331">
        <f>+IF($F$10=0,BG451,0)</f>
        <v>0</v>
      </c>
      <c r="BH386" s="331">
        <f>+IF($F$10=0,BH451,IF($F$10=30,BH451,0))</f>
        <v>0</v>
      </c>
      <c r="BI386" s="331">
        <f>+IF($F$10=0,BI451,IF($F$10=30,0,BI451))</f>
        <v>0</v>
      </c>
      <c r="BJ386" s="331">
        <f>+IF($F$10=0,BJ451,IF($F$10=30,BJ451,0))</f>
        <v>0</v>
      </c>
      <c r="BK386" s="331">
        <f>+IF($F$10=0,BK451,0)</f>
        <v>0</v>
      </c>
      <c r="BL386" s="331">
        <f>+BL451</f>
        <v>0</v>
      </c>
      <c r="BM386" s="331">
        <f>+IF($F$10=0,BM451,0)</f>
        <v>0</v>
      </c>
      <c r="BN386" s="331"/>
      <c r="BO386" s="331"/>
      <c r="BP386" s="331"/>
      <c r="BQ386" s="331"/>
      <c r="BR386" s="331"/>
      <c r="BS386" s="331"/>
      <c r="BT386" s="331"/>
      <c r="BU386" s="331"/>
      <c r="BV386" s="331"/>
      <c r="BW386" s="331"/>
      <c r="BX386" s="331"/>
      <c r="BY386" s="331"/>
      <c r="BZ386" s="331"/>
      <c r="CA386" s="331"/>
      <c r="CB386" s="331"/>
      <c r="CC386" s="331"/>
      <c r="CD386" s="331"/>
      <c r="CE386" s="331"/>
      <c r="CF386" s="331"/>
      <c r="CG386" s="331"/>
      <c r="CH386" s="331"/>
      <c r="CI386" s="331"/>
      <c r="CJ386" s="331"/>
      <c r="CK386" s="331"/>
      <c r="CL386" s="331"/>
      <c r="CM386" s="331"/>
      <c r="CN386" s="331"/>
      <c r="CO386" s="331"/>
      <c r="CP386" s="331"/>
      <c r="CQ386" s="331"/>
      <c r="CR386" s="331"/>
      <c r="CS386" s="331"/>
      <c r="CT386" s="331"/>
      <c r="CU386" s="331"/>
      <c r="CV386" s="331"/>
      <c r="CW386" s="331"/>
      <c r="CX386" s="331"/>
      <c r="CY386" s="331"/>
      <c r="CZ386" s="331"/>
      <c r="DA386" s="331"/>
      <c r="DB386" s="331"/>
      <c r="DC386" s="331"/>
      <c r="DD386" s="331"/>
      <c r="DE386" s="331"/>
      <c r="DF386" s="331"/>
      <c r="DG386" s="331"/>
    </row>
    <row r="387" spans="5:112" ht="15.75">
      <c r="E387" s="416">
        <f t="shared" si="207"/>
        <v>44923</v>
      </c>
      <c r="F387" s="331"/>
      <c r="K387" s="331"/>
      <c r="M387" s="331"/>
      <c r="Y387" s="331"/>
      <c r="Z387" s="331"/>
      <c r="AA387" s="331"/>
      <c r="AB387" s="331"/>
      <c r="AC387" s="331"/>
      <c r="AD387" s="331"/>
      <c r="AE387" s="331"/>
      <c r="AF387" s="331"/>
      <c r="AG387" s="331"/>
      <c r="AH387" s="331"/>
      <c r="AI387" s="331"/>
      <c r="AJ387" s="331"/>
      <c r="AK387" s="331"/>
      <c r="AL387" s="331"/>
      <c r="AM387" s="331"/>
      <c r="AN387" s="331"/>
      <c r="AO387" s="331"/>
      <c r="AP387" s="331"/>
      <c r="AQ387" s="331"/>
      <c r="AR387" s="331"/>
      <c r="AS387" s="331"/>
      <c r="AT387" s="331"/>
      <c r="AU387" s="331"/>
      <c r="AV387" s="331"/>
      <c r="AW387" s="331"/>
      <c r="AX387" s="331"/>
      <c r="AY387" s="331"/>
      <c r="AZ387" s="331"/>
      <c r="BA387" s="331">
        <f>+BA452</f>
        <v>0</v>
      </c>
      <c r="BB387" s="331">
        <f>+IF($F$10=0,BB452,0)</f>
        <v>0</v>
      </c>
      <c r="BC387" s="331">
        <f>+IF($F$10=0,BC452,IF($F$10=30,BC452,0))</f>
        <v>0</v>
      </c>
      <c r="BD387" s="331">
        <f>+IF($F$10=0,BD452,IF($F$10=30,0,BD452))</f>
        <v>0</v>
      </c>
      <c r="BE387" s="331">
        <f>+IF($F$10=0,BE452,IF($F$10=30,BE452,0))</f>
        <v>0</v>
      </c>
      <c r="BF387" s="331">
        <f>+IF($F$10=0,BF452,0)</f>
        <v>0</v>
      </c>
      <c r="BG387" s="331">
        <f>+BG452</f>
        <v>0</v>
      </c>
      <c r="BH387" s="331">
        <f>+IF($F$10=0,BH452,0)</f>
        <v>0</v>
      </c>
      <c r="BI387" s="331">
        <f>+IF($F$10=0,BI452,IF($F$10=30,BI452,0))</f>
        <v>0</v>
      </c>
      <c r="BJ387" s="331">
        <f>+IF($F$10=0,BJ452,IF($F$10=30,0,BJ452))</f>
        <v>0</v>
      </c>
      <c r="BK387" s="331">
        <f>+IF($F$10=0,BK452,IF($F$10=30,BK452,0))</f>
        <v>0</v>
      </c>
      <c r="BL387" s="331">
        <f>+IF($F$10=0,BL452,0)</f>
        <v>0</v>
      </c>
      <c r="BM387" s="331">
        <f>+BM452</f>
        <v>0</v>
      </c>
      <c r="BN387" s="331"/>
      <c r="BO387" s="331"/>
      <c r="BP387" s="331"/>
      <c r="BQ387" s="331"/>
      <c r="BR387" s="331"/>
      <c r="BS387" s="331"/>
      <c r="BT387" s="331"/>
      <c r="BU387" s="331"/>
      <c r="BV387" s="331"/>
      <c r="BW387" s="331"/>
      <c r="BX387" s="331"/>
      <c r="BY387" s="331"/>
      <c r="BZ387" s="331"/>
      <c r="CA387" s="331"/>
      <c r="CB387" s="331"/>
      <c r="CC387" s="331"/>
      <c r="CD387" s="331"/>
      <c r="CE387" s="331"/>
      <c r="CF387" s="331"/>
      <c r="CG387" s="331"/>
      <c r="CH387" s="331"/>
      <c r="CI387" s="331"/>
      <c r="CJ387" s="331"/>
      <c r="CK387" s="331"/>
      <c r="CL387" s="331"/>
      <c r="CM387" s="331"/>
      <c r="CN387" s="331"/>
      <c r="CO387" s="331"/>
      <c r="CP387" s="331"/>
      <c r="CQ387" s="331"/>
      <c r="CR387" s="331"/>
      <c r="CS387" s="331"/>
      <c r="CT387" s="331"/>
      <c r="CU387" s="331"/>
      <c r="CV387" s="331"/>
      <c r="CW387" s="331"/>
      <c r="CX387" s="331"/>
      <c r="CY387" s="331"/>
      <c r="CZ387" s="331"/>
      <c r="DA387" s="331"/>
      <c r="DB387" s="331"/>
      <c r="DC387" s="331"/>
      <c r="DD387" s="331"/>
      <c r="DE387" s="331"/>
      <c r="DF387" s="331"/>
      <c r="DG387" s="331"/>
      <c r="DH387" s="331"/>
    </row>
    <row r="388" spans="5:113" ht="15.75">
      <c r="E388" s="416">
        <f t="shared" si="207"/>
        <v>44954</v>
      </c>
      <c r="F388" s="331"/>
      <c r="G388" s="331"/>
      <c r="H388" s="331"/>
      <c r="I388" s="331"/>
      <c r="J388" s="331"/>
      <c r="K388" s="331"/>
      <c r="L388" s="331"/>
      <c r="M388" s="331"/>
      <c r="N388" s="331"/>
      <c r="O388" s="331"/>
      <c r="P388" s="331"/>
      <c r="Q388" s="331"/>
      <c r="R388" s="331"/>
      <c r="S388" s="331"/>
      <c r="T388" s="331"/>
      <c r="U388" s="331"/>
      <c r="V388" s="331"/>
      <c r="W388" s="331"/>
      <c r="X388" s="331"/>
      <c r="Y388" s="331"/>
      <c r="Z388" s="331"/>
      <c r="AA388" s="331"/>
      <c r="AB388" s="331"/>
      <c r="AC388" s="331"/>
      <c r="AD388" s="331"/>
      <c r="AE388" s="331"/>
      <c r="AF388" s="331"/>
      <c r="AG388" s="331"/>
      <c r="AH388" s="331"/>
      <c r="AI388" s="331"/>
      <c r="AJ388" s="331"/>
      <c r="AK388" s="331"/>
      <c r="AL388" s="331"/>
      <c r="AM388" s="331"/>
      <c r="AN388" s="331"/>
      <c r="AO388" s="331"/>
      <c r="AP388" s="331"/>
      <c r="AQ388" s="331"/>
      <c r="AR388" s="331"/>
      <c r="AS388" s="331"/>
      <c r="AT388" s="331"/>
      <c r="AU388" s="331"/>
      <c r="AV388" s="331"/>
      <c r="AW388" s="331"/>
      <c r="AX388" s="331"/>
      <c r="AY388" s="331"/>
      <c r="AZ388" s="331"/>
      <c r="BA388" s="331"/>
      <c r="BB388" s="331">
        <f>+BB453</f>
        <v>0</v>
      </c>
      <c r="BC388" s="331">
        <f>+IF($F$10=0,BC453,0)</f>
        <v>0</v>
      </c>
      <c r="BD388" s="331">
        <f>+IF($F$10=0,BD453,IF($F$10=30,BD453,0))</f>
        <v>0</v>
      </c>
      <c r="BE388" s="331">
        <f>+IF($F$10=0,BE453,IF($F$10=30,0,BE453))</f>
        <v>0</v>
      </c>
      <c r="BF388" s="331">
        <f>+IF($F$10=0,BF453,IF($F$10=30,BF453,0))</f>
        <v>0</v>
      </c>
      <c r="BG388" s="331">
        <f>+IF($F$10=0,BG453,0)</f>
        <v>0</v>
      </c>
      <c r="BH388" s="331">
        <f>+BH453</f>
        <v>0</v>
      </c>
      <c r="BI388" s="331">
        <f>+IF($F$10=0,BI453,0)</f>
        <v>0</v>
      </c>
      <c r="BJ388" s="331">
        <f>+IF($F$10=0,BJ453,IF($F$10=30,BJ453,0))</f>
        <v>0</v>
      </c>
      <c r="BK388" s="331">
        <f>+IF($F$10=0,BK453,IF($F$10=30,0,BK453))</f>
        <v>0</v>
      </c>
      <c r="BL388" s="331">
        <f>+IF($F$10=0,BL453,IF($F$10=30,BL453,0))</f>
        <v>0</v>
      </c>
      <c r="BM388" s="331">
        <f>+IF($F$10=0,BM453,0)</f>
        <v>0</v>
      </c>
      <c r="BN388" s="331"/>
      <c r="BO388" s="331"/>
      <c r="BP388" s="331"/>
      <c r="BQ388" s="331"/>
      <c r="BR388" s="331"/>
      <c r="BS388" s="331"/>
      <c r="BT388" s="331"/>
      <c r="BU388" s="331"/>
      <c r="BV388" s="331"/>
      <c r="BW388" s="331"/>
      <c r="BX388" s="331"/>
      <c r="BY388" s="331"/>
      <c r="BZ388" s="331"/>
      <c r="CA388" s="331"/>
      <c r="CB388" s="331"/>
      <c r="CC388" s="331"/>
      <c r="CD388" s="331"/>
      <c r="CE388" s="331"/>
      <c r="CF388" s="331"/>
      <c r="CG388" s="331"/>
      <c r="CH388" s="331"/>
      <c r="CI388" s="331"/>
      <c r="CJ388" s="331"/>
      <c r="CK388" s="331"/>
      <c r="CL388" s="331"/>
      <c r="CM388" s="331"/>
      <c r="CN388" s="331"/>
      <c r="CO388" s="331"/>
      <c r="CP388" s="331"/>
      <c r="CQ388" s="331"/>
      <c r="CR388" s="331"/>
      <c r="CS388" s="331"/>
      <c r="CT388" s="331"/>
      <c r="CU388" s="331"/>
      <c r="CV388" s="331"/>
      <c r="CW388" s="331"/>
      <c r="CX388" s="331"/>
      <c r="CY388" s="331"/>
      <c r="CZ388" s="331"/>
      <c r="DA388" s="331"/>
      <c r="DB388" s="331"/>
      <c r="DC388" s="331"/>
      <c r="DD388" s="331"/>
      <c r="DE388" s="331"/>
      <c r="DF388" s="331"/>
      <c r="DG388" s="331"/>
      <c r="DH388" s="331"/>
      <c r="DI388" s="331"/>
    </row>
    <row r="389" spans="5:114" ht="15.75">
      <c r="E389" s="416">
        <f t="shared" si="207"/>
        <v>44985</v>
      </c>
      <c r="F389" s="331"/>
      <c r="G389" s="331"/>
      <c r="H389" s="331"/>
      <c r="I389" s="331"/>
      <c r="J389" s="331"/>
      <c r="K389" s="331"/>
      <c r="L389" s="331"/>
      <c r="M389" s="331"/>
      <c r="N389" s="331"/>
      <c r="O389" s="331"/>
      <c r="P389" s="331"/>
      <c r="Q389" s="331"/>
      <c r="R389" s="331"/>
      <c r="S389" s="331"/>
      <c r="T389" s="331"/>
      <c r="U389" s="331"/>
      <c r="V389" s="331"/>
      <c r="W389" s="331"/>
      <c r="X389" s="331"/>
      <c r="Y389" s="331"/>
      <c r="Z389" s="331"/>
      <c r="AA389" s="331"/>
      <c r="AB389" s="331"/>
      <c r="AC389" s="331"/>
      <c r="AD389" s="331"/>
      <c r="AE389" s="331"/>
      <c r="AF389" s="331"/>
      <c r="AG389" s="331"/>
      <c r="AH389" s="331"/>
      <c r="AI389" s="331"/>
      <c r="AJ389" s="331"/>
      <c r="AK389" s="331"/>
      <c r="AL389" s="331"/>
      <c r="AM389" s="331"/>
      <c r="AN389" s="331"/>
      <c r="AO389" s="331"/>
      <c r="AP389" s="331"/>
      <c r="AQ389" s="331"/>
      <c r="AR389" s="331"/>
      <c r="AS389" s="331"/>
      <c r="AT389" s="331"/>
      <c r="AU389" s="331"/>
      <c r="AV389" s="331"/>
      <c r="AW389" s="331"/>
      <c r="AX389" s="331"/>
      <c r="AY389" s="331"/>
      <c r="AZ389" s="331"/>
      <c r="BA389" s="331"/>
      <c r="BB389" s="331"/>
      <c r="BC389" s="331">
        <f>+BC454</f>
        <v>0</v>
      </c>
      <c r="BD389" s="331">
        <f>+IF($F$10=0,BD454,0)</f>
        <v>0</v>
      </c>
      <c r="BE389" s="331">
        <f>+IF($F$10=0,BE454,IF($F$10=30,BE454,0))</f>
        <v>0</v>
      </c>
      <c r="BF389" s="331">
        <f>+IF($F$10=0,BF454,IF($F$10=30,0,BF454))</f>
        <v>0</v>
      </c>
      <c r="BG389" s="331">
        <f>+IF($F$10=0,BG454,IF($F$10=30,BG454,0))</f>
        <v>0</v>
      </c>
      <c r="BH389" s="331">
        <f>+IF($F$10=0,BH454,0)</f>
        <v>0</v>
      </c>
      <c r="BI389" s="331">
        <f>+BI454</f>
        <v>0</v>
      </c>
      <c r="BJ389" s="331">
        <f>+IF($F$10=0,BJ454,0)</f>
        <v>0</v>
      </c>
      <c r="BK389" s="331">
        <f>+IF($F$10=0,BK454,IF($F$10=30,BK454,0))</f>
        <v>0</v>
      </c>
      <c r="BL389" s="331">
        <f>+IF($F$10=0,BL454,IF($F$10=30,0,BL454))</f>
        <v>0</v>
      </c>
      <c r="BM389" s="331">
        <f>+IF($F$10=0,BM454,IF($F$10=30,BM454,0))</f>
        <v>0</v>
      </c>
      <c r="BN389" s="331"/>
      <c r="BO389" s="331"/>
      <c r="BP389" s="331"/>
      <c r="BQ389" s="331"/>
      <c r="BR389" s="331"/>
      <c r="BS389" s="331"/>
      <c r="BT389" s="331"/>
      <c r="BU389" s="331"/>
      <c r="BV389" s="331"/>
      <c r="BW389" s="331"/>
      <c r="BX389" s="331"/>
      <c r="BY389" s="331"/>
      <c r="BZ389" s="331"/>
      <c r="CA389" s="331"/>
      <c r="CB389" s="331"/>
      <c r="CC389" s="331"/>
      <c r="CD389" s="331"/>
      <c r="CE389" s="331"/>
      <c r="CF389" s="331"/>
      <c r="CG389" s="331"/>
      <c r="CH389" s="331"/>
      <c r="CI389" s="331"/>
      <c r="CJ389" s="331"/>
      <c r="CK389" s="331"/>
      <c r="CL389" s="331"/>
      <c r="CM389" s="331"/>
      <c r="CN389" s="331"/>
      <c r="CO389" s="331"/>
      <c r="CP389" s="331"/>
      <c r="CQ389" s="331"/>
      <c r="CR389" s="331"/>
      <c r="CS389" s="331"/>
      <c r="CT389" s="331"/>
      <c r="CU389" s="331"/>
      <c r="CV389" s="331"/>
      <c r="CW389" s="331"/>
      <c r="CX389" s="331"/>
      <c r="CY389" s="331"/>
      <c r="CZ389" s="331"/>
      <c r="DA389" s="331"/>
      <c r="DB389" s="331"/>
      <c r="DC389" s="331"/>
      <c r="DD389" s="331"/>
      <c r="DE389" s="331"/>
      <c r="DF389" s="331"/>
      <c r="DG389" s="331"/>
      <c r="DH389" s="331"/>
      <c r="DI389" s="331"/>
      <c r="DJ389" s="331"/>
    </row>
    <row r="390" spans="5:115" ht="15.75">
      <c r="E390" s="416">
        <f t="shared" si="207"/>
        <v>45016</v>
      </c>
      <c r="F390" s="331"/>
      <c r="G390" s="331"/>
      <c r="H390" s="331"/>
      <c r="I390" s="331"/>
      <c r="J390" s="331"/>
      <c r="K390" s="331"/>
      <c r="L390" s="331"/>
      <c r="M390" s="331"/>
      <c r="N390" s="331"/>
      <c r="O390" s="331"/>
      <c r="P390" s="331"/>
      <c r="Q390" s="331"/>
      <c r="R390" s="331"/>
      <c r="S390" s="331"/>
      <c r="T390" s="331"/>
      <c r="U390" s="331"/>
      <c r="V390" s="331"/>
      <c r="W390" s="331"/>
      <c r="X390" s="331"/>
      <c r="Y390" s="331"/>
      <c r="Z390" s="331"/>
      <c r="AA390" s="331"/>
      <c r="AB390" s="331"/>
      <c r="AC390" s="331"/>
      <c r="AD390" s="331"/>
      <c r="AE390" s="331"/>
      <c r="AF390" s="331"/>
      <c r="AG390" s="331"/>
      <c r="AH390" s="331"/>
      <c r="AI390" s="331"/>
      <c r="AJ390" s="331"/>
      <c r="AK390" s="331"/>
      <c r="AL390" s="331"/>
      <c r="AM390" s="331"/>
      <c r="AN390" s="331"/>
      <c r="AO390" s="331"/>
      <c r="AP390" s="331"/>
      <c r="AQ390" s="331"/>
      <c r="AR390" s="331"/>
      <c r="AS390" s="331"/>
      <c r="AT390" s="331"/>
      <c r="AU390" s="331"/>
      <c r="AV390" s="331"/>
      <c r="AW390" s="331"/>
      <c r="AX390" s="331"/>
      <c r="AY390" s="331"/>
      <c r="AZ390" s="331"/>
      <c r="BA390" s="331"/>
      <c r="BB390" s="331"/>
      <c r="BC390" s="331"/>
      <c r="BD390" s="331">
        <f>+BD455</f>
        <v>0</v>
      </c>
      <c r="BE390" s="331">
        <f>+IF($F$10=0,BE455,0)</f>
        <v>0</v>
      </c>
      <c r="BF390" s="331">
        <f>+IF($F$10=0,BF455,IF($F$10=30,BF455,0))</f>
        <v>0</v>
      </c>
      <c r="BG390" s="331">
        <f>+IF($F$10=0,BG455,IF($F$10=30,0,BG455))</f>
        <v>0</v>
      </c>
      <c r="BH390" s="331">
        <f>+IF($F$10=0,BH455,IF($F$10=30,BH455,0))</f>
        <v>0</v>
      </c>
      <c r="BI390" s="331">
        <f>+IF($F$10=0,BI455,0)</f>
        <v>0</v>
      </c>
      <c r="BJ390" s="331">
        <f>+BJ455</f>
        <v>0</v>
      </c>
      <c r="BK390" s="331">
        <f>+IF($F$10=0,BK455,0)</f>
        <v>0</v>
      </c>
      <c r="BL390" s="331">
        <f>+IF($F$10=0,BL455,IF($F$10=30,BL455,0))</f>
        <v>0</v>
      </c>
      <c r="BM390" s="331">
        <f>+IF($F$10=0,BM455,IF($F$10=30,0,BM455))</f>
        <v>0</v>
      </c>
      <c r="BN390" s="331"/>
      <c r="BO390" s="331"/>
      <c r="BP390" s="331"/>
      <c r="BQ390" s="331"/>
      <c r="BR390" s="331"/>
      <c r="BS390" s="331"/>
      <c r="BT390" s="331"/>
      <c r="BU390" s="331"/>
      <c r="BV390" s="331"/>
      <c r="BW390" s="331"/>
      <c r="BX390" s="331"/>
      <c r="BY390" s="331"/>
      <c r="BZ390" s="331"/>
      <c r="CA390" s="331"/>
      <c r="CB390" s="331"/>
      <c r="CC390" s="331"/>
      <c r="CD390" s="331"/>
      <c r="CE390" s="331"/>
      <c r="CF390" s="331"/>
      <c r="CG390" s="331"/>
      <c r="CH390" s="331"/>
      <c r="CI390" s="331"/>
      <c r="CJ390" s="331"/>
      <c r="CK390" s="331"/>
      <c r="CL390" s="331"/>
      <c r="CM390" s="331"/>
      <c r="CN390" s="331"/>
      <c r="CO390" s="331"/>
      <c r="CP390" s="331"/>
      <c r="CQ390" s="331"/>
      <c r="CR390" s="331"/>
      <c r="CS390" s="331"/>
      <c r="CT390" s="331"/>
      <c r="CU390" s="331"/>
      <c r="CV390" s="331"/>
      <c r="CW390" s="331"/>
      <c r="CX390" s="331"/>
      <c r="CY390" s="331"/>
      <c r="CZ390" s="331"/>
      <c r="DA390" s="331"/>
      <c r="DB390" s="331"/>
      <c r="DC390" s="331"/>
      <c r="DD390" s="331"/>
      <c r="DE390" s="331"/>
      <c r="DF390" s="331"/>
      <c r="DG390" s="331"/>
      <c r="DH390" s="331"/>
      <c r="DI390" s="331"/>
      <c r="DJ390" s="331"/>
      <c r="DK390" s="331"/>
    </row>
    <row r="391" spans="5:116" ht="15.75">
      <c r="E391" s="416">
        <f>+E390+10</f>
        <v>45026</v>
      </c>
      <c r="F391" s="331"/>
      <c r="G391" s="331"/>
      <c r="H391" s="331"/>
      <c r="I391" s="331"/>
      <c r="J391" s="331"/>
      <c r="K391" s="331"/>
      <c r="L391" s="331"/>
      <c r="M391" s="331"/>
      <c r="N391" s="331"/>
      <c r="O391" s="331"/>
      <c r="P391" s="331"/>
      <c r="Q391" s="331"/>
      <c r="R391" s="331"/>
      <c r="S391" s="331"/>
      <c r="T391" s="331"/>
      <c r="U391" s="331"/>
      <c r="V391" s="331"/>
      <c r="W391" s="331"/>
      <c r="X391" s="331"/>
      <c r="Y391" s="331"/>
      <c r="Z391" s="331"/>
      <c r="AA391" s="331"/>
      <c r="AB391" s="331"/>
      <c r="AC391" s="331"/>
      <c r="AD391" s="331"/>
      <c r="AE391" s="331"/>
      <c r="AF391" s="331"/>
      <c r="AG391" s="331"/>
      <c r="AH391" s="331"/>
      <c r="AI391" s="331"/>
      <c r="AJ391" s="331"/>
      <c r="AK391" s="331"/>
      <c r="AL391" s="331"/>
      <c r="AM391" s="331"/>
      <c r="AN391" s="331"/>
      <c r="AO391" s="331"/>
      <c r="AP391" s="331"/>
      <c r="AQ391" s="331"/>
      <c r="AR391" s="331"/>
      <c r="AS391" s="331"/>
      <c r="AT391" s="331"/>
      <c r="AU391" s="331"/>
      <c r="AV391" s="331"/>
      <c r="AW391" s="331"/>
      <c r="AX391" s="331"/>
      <c r="AY391" s="331"/>
      <c r="AZ391" s="331"/>
      <c r="BA391" s="331"/>
      <c r="BB391" s="331"/>
      <c r="BC391" s="331"/>
      <c r="BD391" s="331"/>
      <c r="BE391" s="331">
        <f>+BE456</f>
        <v>0</v>
      </c>
      <c r="BF391" s="331">
        <f>+IF($F$10=0,BF456,0)</f>
        <v>0</v>
      </c>
      <c r="BG391" s="331">
        <f>+IF($F$10=0,BG456,IF($F$10=30,BG456,0))</f>
        <v>0</v>
      </c>
      <c r="BH391" s="331">
        <f>+IF($F$10=0,BH456,IF($F$10=30,0,BH456))</f>
        <v>0</v>
      </c>
      <c r="BI391" s="331">
        <f>+IF($F$10=0,BI456,IF($F$10=30,BI456,0))</f>
        <v>0</v>
      </c>
      <c r="BJ391" s="331">
        <f>+IF($F$10=0,BJ456,0)</f>
        <v>0</v>
      </c>
      <c r="BK391" s="331">
        <f>+BK456</f>
        <v>0</v>
      </c>
      <c r="BL391" s="331">
        <f>+IF($F$10=0,BL456,0)</f>
        <v>0</v>
      </c>
      <c r="BM391" s="331">
        <f>+IF($F$10=0,BM456,IF($F$10=30,BM456,0))</f>
        <v>0</v>
      </c>
      <c r="BN391" s="331"/>
      <c r="BO391" s="331"/>
      <c r="BP391" s="331"/>
      <c r="BQ391" s="331"/>
      <c r="BR391" s="331"/>
      <c r="BS391" s="331"/>
      <c r="BT391" s="331"/>
      <c r="BU391" s="331"/>
      <c r="BV391" s="331"/>
      <c r="BW391" s="331"/>
      <c r="BX391" s="331"/>
      <c r="BY391" s="331"/>
      <c r="BZ391" s="331"/>
      <c r="CA391" s="331"/>
      <c r="CB391" s="331"/>
      <c r="CC391" s="331"/>
      <c r="CD391" s="331"/>
      <c r="CE391" s="331"/>
      <c r="CF391" s="331"/>
      <c r="CG391" s="331"/>
      <c r="CH391" s="331"/>
      <c r="CI391" s="331"/>
      <c r="CJ391" s="331"/>
      <c r="CK391" s="331"/>
      <c r="CL391" s="331"/>
      <c r="CM391" s="331"/>
      <c r="CN391" s="331"/>
      <c r="CO391" s="331"/>
      <c r="CP391" s="331"/>
      <c r="CQ391" s="331"/>
      <c r="CR391" s="331"/>
      <c r="CS391" s="331"/>
      <c r="CT391" s="331"/>
      <c r="CU391" s="331"/>
      <c r="CV391" s="331"/>
      <c r="CW391" s="331"/>
      <c r="CX391" s="331"/>
      <c r="CY391" s="331"/>
      <c r="CZ391" s="331"/>
      <c r="DA391" s="331"/>
      <c r="DB391" s="331"/>
      <c r="DC391" s="331"/>
      <c r="DD391" s="331"/>
      <c r="DE391" s="331"/>
      <c r="DF391" s="331"/>
      <c r="DG391" s="331"/>
      <c r="DH391" s="331"/>
      <c r="DI391" s="331"/>
      <c r="DJ391" s="331"/>
      <c r="DK391" s="331"/>
      <c r="DL391" s="331"/>
    </row>
    <row r="392" spans="5:117" ht="15.75">
      <c r="E392" s="416">
        <f t="shared" si="207"/>
        <v>45057</v>
      </c>
      <c r="F392" s="331"/>
      <c r="G392" s="331"/>
      <c r="H392" s="331"/>
      <c r="I392" s="331"/>
      <c r="J392" s="331"/>
      <c r="K392" s="331"/>
      <c r="L392" s="331"/>
      <c r="M392" s="331"/>
      <c r="N392" s="331"/>
      <c r="O392" s="331"/>
      <c r="P392" s="331"/>
      <c r="Q392" s="331"/>
      <c r="R392" s="331"/>
      <c r="S392" s="331"/>
      <c r="T392" s="331"/>
      <c r="U392" s="331"/>
      <c r="V392" s="331"/>
      <c r="W392" s="331"/>
      <c r="X392" s="331"/>
      <c r="Y392" s="331"/>
      <c r="Z392" s="331"/>
      <c r="AA392" s="331"/>
      <c r="AB392" s="331"/>
      <c r="AC392" s="331"/>
      <c r="AD392" s="331"/>
      <c r="AE392" s="331"/>
      <c r="AF392" s="331"/>
      <c r="AG392" s="331"/>
      <c r="AH392" s="331"/>
      <c r="AI392" s="331"/>
      <c r="AJ392" s="331"/>
      <c r="AK392" s="331"/>
      <c r="AL392" s="331"/>
      <c r="AM392" s="331"/>
      <c r="AN392" s="331"/>
      <c r="AO392" s="331"/>
      <c r="AP392" s="331"/>
      <c r="AQ392" s="331"/>
      <c r="AR392" s="331"/>
      <c r="AS392" s="331"/>
      <c r="AT392" s="331"/>
      <c r="AU392" s="331"/>
      <c r="AV392" s="331"/>
      <c r="AW392" s="331"/>
      <c r="AX392" s="331"/>
      <c r="AY392" s="331"/>
      <c r="AZ392" s="331"/>
      <c r="BA392" s="331"/>
      <c r="BB392" s="331"/>
      <c r="BC392" s="331"/>
      <c r="BD392" s="331"/>
      <c r="BE392" s="331"/>
      <c r="BF392" s="331">
        <f>+BF457</f>
        <v>0</v>
      </c>
      <c r="BG392" s="331">
        <f>+IF($F$10=0,BG457,0)</f>
        <v>0</v>
      </c>
      <c r="BH392" s="331">
        <f>+IF($F$10=0,BH457,IF($F$10=30,BH457,0))</f>
        <v>0</v>
      </c>
      <c r="BI392" s="331">
        <f>+IF($F$10=0,BI457,IF($F$10=30,0,BI457))</f>
        <v>0</v>
      </c>
      <c r="BJ392" s="331">
        <f>+IF($F$10=0,BJ457,IF($F$10=30,BJ457,0))</f>
        <v>0</v>
      </c>
      <c r="BK392" s="331">
        <f>+IF($F$10=0,BK457,0)</f>
        <v>0</v>
      </c>
      <c r="BL392" s="331">
        <f>+BL457</f>
        <v>0</v>
      </c>
      <c r="BM392" s="331">
        <f>+IF($F$10=0,BM457,0)</f>
        <v>0</v>
      </c>
      <c r="BN392" s="331"/>
      <c r="BO392" s="331"/>
      <c r="BP392" s="331"/>
      <c r="BQ392" s="331"/>
      <c r="BR392" s="331"/>
      <c r="BS392" s="331"/>
      <c r="BT392" s="331"/>
      <c r="BU392" s="331"/>
      <c r="BV392" s="331"/>
      <c r="BW392" s="331"/>
      <c r="BX392" s="331"/>
      <c r="BY392" s="331"/>
      <c r="BZ392" s="331"/>
      <c r="CA392" s="331"/>
      <c r="CB392" s="331"/>
      <c r="CC392" s="331"/>
      <c r="CD392" s="331"/>
      <c r="CE392" s="331"/>
      <c r="CF392" s="331"/>
      <c r="CG392" s="331"/>
      <c r="CH392" s="331"/>
      <c r="CI392" s="331"/>
      <c r="CJ392" s="331"/>
      <c r="CK392" s="331"/>
      <c r="CL392" s="331"/>
      <c r="CM392" s="331"/>
      <c r="CN392" s="331"/>
      <c r="CO392" s="331"/>
      <c r="CP392" s="331"/>
      <c r="CQ392" s="331"/>
      <c r="CR392" s="331"/>
      <c r="CS392" s="331"/>
      <c r="CT392" s="331"/>
      <c r="CU392" s="331"/>
      <c r="CV392" s="331"/>
      <c r="CW392" s="331"/>
      <c r="CX392" s="331"/>
      <c r="CY392" s="331"/>
      <c r="CZ392" s="331"/>
      <c r="DA392" s="331"/>
      <c r="DB392" s="331"/>
      <c r="DC392" s="331"/>
      <c r="DD392" s="331"/>
      <c r="DE392" s="331"/>
      <c r="DF392" s="331"/>
      <c r="DG392" s="331"/>
      <c r="DH392" s="331"/>
      <c r="DI392" s="331"/>
      <c r="DJ392" s="331"/>
      <c r="DK392" s="331"/>
      <c r="DL392" s="331"/>
      <c r="DM392" s="331"/>
    </row>
    <row r="393" spans="5:118" ht="15.75">
      <c r="E393" s="416">
        <f t="shared" si="207"/>
        <v>45088</v>
      </c>
      <c r="F393" s="331"/>
      <c r="G393" s="331"/>
      <c r="H393" s="331"/>
      <c r="I393" s="331"/>
      <c r="J393" s="331"/>
      <c r="K393" s="331"/>
      <c r="L393" s="331"/>
      <c r="M393" s="331"/>
      <c r="N393" s="331"/>
      <c r="O393" s="331"/>
      <c r="P393" s="331"/>
      <c r="Q393" s="331"/>
      <c r="R393" s="331"/>
      <c r="S393" s="331"/>
      <c r="T393" s="331"/>
      <c r="U393" s="331"/>
      <c r="V393" s="331"/>
      <c r="W393" s="331"/>
      <c r="X393" s="331"/>
      <c r="Y393" s="331"/>
      <c r="Z393" s="331"/>
      <c r="AA393" s="331"/>
      <c r="AB393" s="331"/>
      <c r="AC393" s="331"/>
      <c r="AD393" s="331"/>
      <c r="AE393" s="331"/>
      <c r="AF393" s="331"/>
      <c r="AG393" s="331"/>
      <c r="AH393" s="331"/>
      <c r="AI393" s="331"/>
      <c r="AJ393" s="331"/>
      <c r="AK393" s="331"/>
      <c r="AL393" s="331"/>
      <c r="AM393" s="331"/>
      <c r="AN393" s="331"/>
      <c r="AO393" s="331"/>
      <c r="AP393" s="331"/>
      <c r="AQ393" s="331"/>
      <c r="AR393" s="331"/>
      <c r="AS393" s="331"/>
      <c r="AT393" s="331"/>
      <c r="AU393" s="331"/>
      <c r="AV393" s="331"/>
      <c r="AW393" s="331"/>
      <c r="AX393" s="331"/>
      <c r="AY393" s="331"/>
      <c r="AZ393" s="331"/>
      <c r="BA393" s="331"/>
      <c r="BB393" s="331"/>
      <c r="BC393" s="331"/>
      <c r="BD393" s="331"/>
      <c r="BE393" s="331"/>
      <c r="BF393" s="331"/>
      <c r="BG393" s="331">
        <f>+BG458</f>
        <v>0</v>
      </c>
      <c r="BH393" s="331">
        <f>+IF($F$10=0,BH458,0)</f>
        <v>0</v>
      </c>
      <c r="BI393" s="331">
        <f>+IF($F$10=0,BI458,IF($F$10=30,BI458,0))</f>
        <v>0</v>
      </c>
      <c r="BJ393" s="331">
        <f>+IF($F$10=0,BJ458,IF($F$10=30,0,BJ458))</f>
        <v>0</v>
      </c>
      <c r="BK393" s="331">
        <f>+IF($F$10=0,BK458,IF($F$10=30,BK458,0))</f>
        <v>0</v>
      </c>
      <c r="BL393" s="331">
        <f>+IF($F$10=0,BL458,0)</f>
        <v>0</v>
      </c>
      <c r="BM393" s="331">
        <f>+BM458</f>
        <v>0</v>
      </c>
      <c r="BN393" s="331"/>
      <c r="BO393" s="331"/>
      <c r="BP393" s="331"/>
      <c r="BQ393" s="331"/>
      <c r="BR393" s="331"/>
      <c r="BS393" s="331"/>
      <c r="BT393" s="331"/>
      <c r="BU393" s="331"/>
      <c r="BV393" s="331"/>
      <c r="BW393" s="331"/>
      <c r="BX393" s="331"/>
      <c r="BY393" s="331"/>
      <c r="BZ393" s="331"/>
      <c r="CA393" s="331"/>
      <c r="CB393" s="331"/>
      <c r="CC393" s="331"/>
      <c r="CD393" s="331"/>
      <c r="CE393" s="331"/>
      <c r="CF393" s="331"/>
      <c r="CG393" s="331"/>
      <c r="CH393" s="331"/>
      <c r="CI393" s="331"/>
      <c r="CJ393" s="331"/>
      <c r="CK393" s="331"/>
      <c r="CL393" s="331"/>
      <c r="CM393" s="331"/>
      <c r="CN393" s="331"/>
      <c r="CO393" s="331"/>
      <c r="CP393" s="331"/>
      <c r="CQ393" s="331"/>
      <c r="CR393" s="331"/>
      <c r="CS393" s="331"/>
      <c r="CT393" s="331"/>
      <c r="CU393" s="331"/>
      <c r="CV393" s="331"/>
      <c r="CW393" s="331"/>
      <c r="CX393" s="331"/>
      <c r="CY393" s="331"/>
      <c r="CZ393" s="331"/>
      <c r="DA393" s="331"/>
      <c r="DB393" s="331"/>
      <c r="DC393" s="331"/>
      <c r="DD393" s="331"/>
      <c r="DE393" s="331"/>
      <c r="DF393" s="331"/>
      <c r="DG393" s="331"/>
      <c r="DH393" s="331"/>
      <c r="DI393" s="331"/>
      <c r="DJ393" s="331"/>
      <c r="DK393" s="331"/>
      <c r="DL393" s="331"/>
      <c r="DM393" s="331"/>
      <c r="DN393" s="331"/>
    </row>
    <row r="394" spans="5:119" ht="15.75">
      <c r="E394" s="416">
        <f t="shared" si="207"/>
        <v>45119</v>
      </c>
      <c r="F394" s="331"/>
      <c r="G394" s="331"/>
      <c r="H394" s="331"/>
      <c r="I394" s="331"/>
      <c r="J394" s="331"/>
      <c r="K394" s="331"/>
      <c r="L394" s="331"/>
      <c r="M394" s="331"/>
      <c r="N394" s="331"/>
      <c r="O394" s="331"/>
      <c r="P394" s="331"/>
      <c r="Q394" s="331"/>
      <c r="R394" s="331"/>
      <c r="S394" s="331"/>
      <c r="T394" s="331"/>
      <c r="U394" s="331"/>
      <c r="V394" s="331"/>
      <c r="W394" s="331"/>
      <c r="X394" s="331"/>
      <c r="Y394" s="331"/>
      <c r="Z394" s="331"/>
      <c r="AA394" s="331"/>
      <c r="AB394" s="331"/>
      <c r="AC394" s="331"/>
      <c r="AD394" s="331"/>
      <c r="AE394" s="331"/>
      <c r="AF394" s="331"/>
      <c r="AG394" s="331"/>
      <c r="AH394" s="331"/>
      <c r="AI394" s="331"/>
      <c r="AJ394" s="331"/>
      <c r="AK394" s="331"/>
      <c r="AL394" s="331"/>
      <c r="AM394" s="331"/>
      <c r="AN394" s="331"/>
      <c r="AO394" s="331"/>
      <c r="AP394" s="331"/>
      <c r="AQ394" s="331"/>
      <c r="AR394" s="331"/>
      <c r="AS394" s="331"/>
      <c r="AT394" s="331"/>
      <c r="AU394" s="331"/>
      <c r="AV394" s="331"/>
      <c r="AW394" s="331"/>
      <c r="AX394" s="331"/>
      <c r="AY394" s="331"/>
      <c r="AZ394" s="331"/>
      <c r="BA394" s="331"/>
      <c r="BB394" s="331"/>
      <c r="BC394" s="331"/>
      <c r="BD394" s="331"/>
      <c r="BE394" s="331"/>
      <c r="BF394" s="331"/>
      <c r="BG394" s="331"/>
      <c r="BH394" s="331">
        <f>+BH459</f>
        <v>0</v>
      </c>
      <c r="BI394" s="331">
        <f>+IF($F$10=0,BI459,0)</f>
        <v>0</v>
      </c>
      <c r="BJ394" s="331">
        <f>+IF($F$10=0,BJ459,IF($F$10=30,BJ459,0))</f>
        <v>0</v>
      </c>
      <c r="BK394" s="331">
        <f>+IF($F$10=0,BK459,IF($F$10=30,0,BK459))</f>
        <v>0</v>
      </c>
      <c r="BL394" s="331">
        <f>+IF($F$10=0,BL459,IF($F$10=30,BL459,0))</f>
        <v>0</v>
      </c>
      <c r="BM394" s="331">
        <f>+IF($F$10=0,BM459,0)</f>
        <v>0</v>
      </c>
      <c r="BN394" s="331"/>
      <c r="BO394" s="331"/>
      <c r="BP394" s="331"/>
      <c r="BQ394" s="331"/>
      <c r="BR394" s="331"/>
      <c r="BS394" s="331"/>
      <c r="BT394" s="331"/>
      <c r="BU394" s="331"/>
      <c r="BV394" s="331"/>
      <c r="BW394" s="331"/>
      <c r="BX394" s="331"/>
      <c r="BY394" s="331"/>
      <c r="BZ394" s="331"/>
      <c r="CA394" s="331"/>
      <c r="CB394" s="331"/>
      <c r="CC394" s="331"/>
      <c r="CD394" s="331"/>
      <c r="CE394" s="331"/>
      <c r="CF394" s="331"/>
      <c r="CG394" s="331"/>
      <c r="CH394" s="331"/>
      <c r="CI394" s="331"/>
      <c r="CJ394" s="331"/>
      <c r="CK394" s="331"/>
      <c r="CL394" s="331"/>
      <c r="CM394" s="331"/>
      <c r="CN394" s="331"/>
      <c r="CO394" s="331"/>
      <c r="CP394" s="331"/>
      <c r="CQ394" s="331"/>
      <c r="CR394" s="331"/>
      <c r="CS394" s="331"/>
      <c r="CT394" s="331"/>
      <c r="CU394" s="331"/>
      <c r="CV394" s="331"/>
      <c r="CW394" s="331"/>
      <c r="CX394" s="331"/>
      <c r="CY394" s="331"/>
      <c r="CZ394" s="331"/>
      <c r="DA394" s="331"/>
      <c r="DB394" s="331"/>
      <c r="DC394" s="331"/>
      <c r="DD394" s="331"/>
      <c r="DE394" s="331"/>
      <c r="DF394" s="331"/>
      <c r="DG394" s="331"/>
      <c r="DH394" s="331"/>
      <c r="DI394" s="331"/>
      <c r="DJ394" s="331"/>
      <c r="DK394" s="331"/>
      <c r="DL394" s="331"/>
      <c r="DM394" s="331"/>
      <c r="DN394" s="331"/>
      <c r="DO394" s="331"/>
    </row>
    <row r="395" spans="5:120" ht="15.75">
      <c r="E395" s="416">
        <f t="shared" si="207"/>
        <v>45150</v>
      </c>
      <c r="F395" s="331"/>
      <c r="G395" s="331"/>
      <c r="H395" s="331"/>
      <c r="I395" s="331"/>
      <c r="J395" s="331"/>
      <c r="K395" s="331"/>
      <c r="L395" s="331"/>
      <c r="M395" s="331"/>
      <c r="N395" s="331"/>
      <c r="O395" s="331"/>
      <c r="P395" s="331"/>
      <c r="Q395" s="331"/>
      <c r="R395" s="331"/>
      <c r="S395" s="331"/>
      <c r="T395" s="331"/>
      <c r="U395" s="331"/>
      <c r="V395" s="331"/>
      <c r="W395" s="331"/>
      <c r="X395" s="331"/>
      <c r="Y395" s="331"/>
      <c r="Z395" s="331"/>
      <c r="AA395" s="331"/>
      <c r="AB395" s="331"/>
      <c r="AC395" s="331"/>
      <c r="AD395" s="331"/>
      <c r="AE395" s="331"/>
      <c r="AF395" s="331"/>
      <c r="AG395" s="331"/>
      <c r="AH395" s="331"/>
      <c r="AI395" s="331"/>
      <c r="AJ395" s="331"/>
      <c r="AK395" s="331"/>
      <c r="AL395" s="331"/>
      <c r="AM395" s="331"/>
      <c r="AN395" s="331"/>
      <c r="AO395" s="331"/>
      <c r="AP395" s="331"/>
      <c r="AQ395" s="331"/>
      <c r="AR395" s="331"/>
      <c r="AS395" s="331"/>
      <c r="AT395" s="331"/>
      <c r="AU395" s="331"/>
      <c r="AV395" s="331"/>
      <c r="AW395" s="331"/>
      <c r="AX395" s="331"/>
      <c r="AY395" s="331"/>
      <c r="AZ395" s="331"/>
      <c r="BA395" s="331"/>
      <c r="BB395" s="331"/>
      <c r="BC395" s="331"/>
      <c r="BD395" s="331"/>
      <c r="BE395" s="331"/>
      <c r="BF395" s="331"/>
      <c r="BG395" s="331"/>
      <c r="BH395" s="331"/>
      <c r="BI395" s="331">
        <f>+BI460</f>
        <v>0</v>
      </c>
      <c r="BJ395" s="331">
        <f>+IF($F$10=0,BJ460,0)</f>
        <v>0</v>
      </c>
      <c r="BK395" s="331">
        <f>+IF($F$10=0,BK460,IF($F$10=30,BK460,0))</f>
        <v>0</v>
      </c>
      <c r="BL395" s="331">
        <f>+IF($F$10=0,BL460,IF($F$10=30,0,BL460))</f>
        <v>0</v>
      </c>
      <c r="BM395" s="331">
        <f>+IF($F$10=0,BM460,IF($F$10=30,BM460,0))</f>
        <v>0</v>
      </c>
      <c r="BN395" s="331"/>
      <c r="BO395" s="331"/>
      <c r="BP395" s="331"/>
      <c r="BQ395" s="331"/>
      <c r="BR395" s="331"/>
      <c r="BS395" s="331"/>
      <c r="BT395" s="331"/>
      <c r="BU395" s="331"/>
      <c r="BV395" s="331"/>
      <c r="BW395" s="331"/>
      <c r="BX395" s="331"/>
      <c r="BY395" s="331"/>
      <c r="BZ395" s="331"/>
      <c r="CA395" s="331"/>
      <c r="CB395" s="331"/>
      <c r="CC395" s="331"/>
      <c r="CD395" s="331"/>
      <c r="CE395" s="331"/>
      <c r="CF395" s="331"/>
      <c r="CG395" s="331"/>
      <c r="CH395" s="331"/>
      <c r="CI395" s="331"/>
      <c r="CJ395" s="331"/>
      <c r="CK395" s="331"/>
      <c r="CL395" s="331"/>
      <c r="CM395" s="331"/>
      <c r="CN395" s="331"/>
      <c r="CO395" s="331"/>
      <c r="CP395" s="331"/>
      <c r="CQ395" s="331"/>
      <c r="CR395" s="331"/>
      <c r="CS395" s="331"/>
      <c r="CT395" s="331"/>
      <c r="CU395" s="331"/>
      <c r="CV395" s="331"/>
      <c r="CW395" s="331"/>
      <c r="CX395" s="331"/>
      <c r="CY395" s="331"/>
      <c r="CZ395" s="331"/>
      <c r="DA395" s="331"/>
      <c r="DB395" s="331"/>
      <c r="DC395" s="331"/>
      <c r="DD395" s="331"/>
      <c r="DE395" s="331"/>
      <c r="DF395" s="331"/>
      <c r="DG395" s="331"/>
      <c r="DH395" s="331"/>
      <c r="DI395" s="331"/>
      <c r="DJ395" s="331"/>
      <c r="DK395" s="331"/>
      <c r="DL395" s="331"/>
      <c r="DM395" s="331"/>
      <c r="DN395" s="331"/>
      <c r="DO395" s="331"/>
      <c r="DP395" s="331"/>
    </row>
    <row r="396" spans="5:121" ht="15.75">
      <c r="E396" s="416">
        <f t="shared" si="207"/>
        <v>45181</v>
      </c>
      <c r="F396" s="331"/>
      <c r="G396" s="331"/>
      <c r="H396" s="331"/>
      <c r="I396" s="331"/>
      <c r="J396" s="331"/>
      <c r="K396" s="331"/>
      <c r="L396" s="331"/>
      <c r="M396" s="331"/>
      <c r="N396" s="331"/>
      <c r="O396" s="331"/>
      <c r="P396" s="331"/>
      <c r="Q396" s="331"/>
      <c r="R396" s="331"/>
      <c r="S396" s="331"/>
      <c r="T396" s="331"/>
      <c r="U396" s="331"/>
      <c r="V396" s="331"/>
      <c r="W396" s="331"/>
      <c r="X396" s="331"/>
      <c r="Y396" s="331"/>
      <c r="Z396" s="331"/>
      <c r="AA396" s="331"/>
      <c r="AB396" s="331"/>
      <c r="AC396" s="331"/>
      <c r="AD396" s="331"/>
      <c r="AE396" s="331"/>
      <c r="AF396" s="331"/>
      <c r="AG396" s="331"/>
      <c r="AH396" s="331"/>
      <c r="AI396" s="331"/>
      <c r="AJ396" s="331"/>
      <c r="AK396" s="331"/>
      <c r="AL396" s="331"/>
      <c r="AM396" s="331"/>
      <c r="AN396" s="331"/>
      <c r="AO396" s="331"/>
      <c r="AP396" s="331"/>
      <c r="AQ396" s="331"/>
      <c r="AR396" s="331"/>
      <c r="AS396" s="331"/>
      <c r="AT396" s="331"/>
      <c r="AU396" s="331"/>
      <c r="AV396" s="331"/>
      <c r="AW396" s="331"/>
      <c r="AX396" s="331"/>
      <c r="AY396" s="331"/>
      <c r="AZ396" s="331"/>
      <c r="BA396" s="331"/>
      <c r="BB396" s="331"/>
      <c r="BC396" s="331"/>
      <c r="BD396" s="331"/>
      <c r="BE396" s="331"/>
      <c r="BF396" s="331"/>
      <c r="BG396" s="331"/>
      <c r="BH396" s="331"/>
      <c r="BI396" s="331"/>
      <c r="BJ396" s="331">
        <f>+BJ461</f>
        <v>0</v>
      </c>
      <c r="BK396" s="331">
        <f>+IF($F$10=0,BK461,0)</f>
        <v>0</v>
      </c>
      <c r="BL396" s="331">
        <f>+IF($F$10=0,BL461,IF($F$10=30,BL461,0))</f>
        <v>0</v>
      </c>
      <c r="BM396" s="331">
        <f>+IF($F$10=0,BM461,IF($F$10=30,0,BM461))</f>
        <v>0</v>
      </c>
      <c r="BN396" s="331"/>
      <c r="BO396" s="331"/>
      <c r="BP396" s="331"/>
      <c r="BQ396" s="331"/>
      <c r="BR396" s="331"/>
      <c r="BS396" s="331"/>
      <c r="BT396" s="331"/>
      <c r="BU396" s="331"/>
      <c r="BV396" s="331"/>
      <c r="BW396" s="331"/>
      <c r="BX396" s="331"/>
      <c r="BY396" s="331"/>
      <c r="BZ396" s="331"/>
      <c r="CA396" s="331"/>
      <c r="CB396" s="331"/>
      <c r="CC396" s="331"/>
      <c r="CD396" s="331"/>
      <c r="CE396" s="331"/>
      <c r="CF396" s="331"/>
      <c r="CG396" s="331"/>
      <c r="CH396" s="331"/>
      <c r="CI396" s="331"/>
      <c r="CJ396" s="331"/>
      <c r="CK396" s="331"/>
      <c r="CL396" s="331"/>
      <c r="CM396" s="331"/>
      <c r="CN396" s="331"/>
      <c r="CO396" s="331"/>
      <c r="CP396" s="331"/>
      <c r="CQ396" s="331"/>
      <c r="CR396" s="331"/>
      <c r="CS396" s="331"/>
      <c r="CT396" s="331"/>
      <c r="CU396" s="331"/>
      <c r="CV396" s="331"/>
      <c r="CW396" s="331"/>
      <c r="CX396" s="331"/>
      <c r="CY396" s="331"/>
      <c r="CZ396" s="331"/>
      <c r="DA396" s="331"/>
      <c r="DB396" s="331"/>
      <c r="DC396" s="331"/>
      <c r="DD396" s="331"/>
      <c r="DE396" s="331"/>
      <c r="DF396" s="331"/>
      <c r="DG396" s="331"/>
      <c r="DH396" s="331"/>
      <c r="DI396" s="331"/>
      <c r="DJ396" s="331"/>
      <c r="DK396" s="331"/>
      <c r="DL396" s="331"/>
      <c r="DM396" s="331"/>
      <c r="DN396" s="331"/>
      <c r="DO396" s="331"/>
      <c r="DP396" s="331"/>
      <c r="DQ396" s="331"/>
    </row>
    <row r="397" spans="5:122" ht="15.75">
      <c r="E397" s="416">
        <f t="shared" si="207"/>
        <v>45212</v>
      </c>
      <c r="F397" s="331"/>
      <c r="G397" s="331"/>
      <c r="H397" s="331"/>
      <c r="I397" s="331"/>
      <c r="J397" s="331"/>
      <c r="K397" s="331"/>
      <c r="L397" s="331"/>
      <c r="M397" s="331"/>
      <c r="N397" s="331"/>
      <c r="O397" s="331"/>
      <c r="P397" s="331"/>
      <c r="Q397" s="331"/>
      <c r="R397" s="331"/>
      <c r="S397" s="331"/>
      <c r="T397" s="331"/>
      <c r="U397" s="331"/>
      <c r="V397" s="331"/>
      <c r="W397" s="331"/>
      <c r="X397" s="331"/>
      <c r="Y397" s="331"/>
      <c r="Z397" s="331"/>
      <c r="AA397" s="331"/>
      <c r="AB397" s="331"/>
      <c r="AC397" s="331"/>
      <c r="AD397" s="331"/>
      <c r="AE397" s="331"/>
      <c r="AF397" s="331"/>
      <c r="AG397" s="331"/>
      <c r="AH397" s="331"/>
      <c r="AI397" s="331"/>
      <c r="AJ397" s="331"/>
      <c r="AK397" s="331"/>
      <c r="AL397" s="331"/>
      <c r="AM397" s="331"/>
      <c r="AN397" s="331"/>
      <c r="AO397" s="331"/>
      <c r="AP397" s="331"/>
      <c r="AQ397" s="331"/>
      <c r="AR397" s="331"/>
      <c r="AS397" s="331"/>
      <c r="AT397" s="331"/>
      <c r="AU397" s="331"/>
      <c r="AV397" s="331"/>
      <c r="AW397" s="331"/>
      <c r="AX397" s="331"/>
      <c r="AY397" s="331"/>
      <c r="AZ397" s="331"/>
      <c r="BA397" s="331"/>
      <c r="BB397" s="331"/>
      <c r="BC397" s="331"/>
      <c r="BD397" s="331"/>
      <c r="BE397" s="331"/>
      <c r="BF397" s="331"/>
      <c r="BG397" s="331"/>
      <c r="BH397" s="331"/>
      <c r="BI397" s="331"/>
      <c r="BJ397" s="331"/>
      <c r="BK397" s="331">
        <f>+BK462</f>
        <v>0</v>
      </c>
      <c r="BL397" s="331">
        <f>+IF($F$10=0,BL462,0)</f>
        <v>0</v>
      </c>
      <c r="BM397" s="331">
        <f>+IF($F$10=0,BM462,IF($F$10=30,BM462,0))</f>
        <v>0</v>
      </c>
      <c r="BN397" s="331"/>
      <c r="BO397" s="331"/>
      <c r="BP397" s="331"/>
      <c r="BQ397" s="331"/>
      <c r="BR397" s="331"/>
      <c r="BS397" s="331"/>
      <c r="BT397" s="331"/>
      <c r="BU397" s="331"/>
      <c r="BV397" s="331"/>
      <c r="BW397" s="331"/>
      <c r="BX397" s="331"/>
      <c r="BY397" s="331"/>
      <c r="BZ397" s="331"/>
      <c r="CA397" s="331"/>
      <c r="CB397" s="331"/>
      <c r="CC397" s="331"/>
      <c r="CD397" s="331"/>
      <c r="CE397" s="331"/>
      <c r="CF397" s="331"/>
      <c r="CG397" s="331"/>
      <c r="CH397" s="331"/>
      <c r="CI397" s="331"/>
      <c r="CJ397" s="331"/>
      <c r="CK397" s="331"/>
      <c r="CL397" s="331"/>
      <c r="CM397" s="331"/>
      <c r="CN397" s="331"/>
      <c r="CO397" s="331"/>
      <c r="CP397" s="331"/>
      <c r="CQ397" s="331"/>
      <c r="CR397" s="331"/>
      <c r="CS397" s="331"/>
      <c r="CT397" s="331"/>
      <c r="CU397" s="331"/>
      <c r="CV397" s="331"/>
      <c r="CW397" s="331"/>
      <c r="CX397" s="331"/>
      <c r="CY397" s="331"/>
      <c r="CZ397" s="331"/>
      <c r="DA397" s="331"/>
      <c r="DB397" s="331"/>
      <c r="DC397" s="331"/>
      <c r="DD397" s="331"/>
      <c r="DE397" s="331"/>
      <c r="DF397" s="331"/>
      <c r="DG397" s="331"/>
      <c r="DH397" s="331"/>
      <c r="DI397" s="331"/>
      <c r="DJ397" s="331"/>
      <c r="DK397" s="331"/>
      <c r="DL397" s="331"/>
      <c r="DM397" s="331"/>
      <c r="DN397" s="331"/>
      <c r="DO397" s="331"/>
      <c r="DP397" s="331"/>
      <c r="DQ397" s="331"/>
      <c r="DR397" s="331"/>
    </row>
    <row r="398" spans="5:123" ht="15.75">
      <c r="E398" s="416">
        <f t="shared" si="207"/>
        <v>45243</v>
      </c>
      <c r="F398" s="331"/>
      <c r="G398" s="331"/>
      <c r="H398" s="331"/>
      <c r="I398" s="331"/>
      <c r="J398" s="331"/>
      <c r="K398" s="331"/>
      <c r="L398" s="331"/>
      <c r="M398" s="331"/>
      <c r="N398" s="331"/>
      <c r="O398" s="331"/>
      <c r="P398" s="331"/>
      <c r="Q398" s="331"/>
      <c r="R398" s="331"/>
      <c r="S398" s="331"/>
      <c r="T398" s="331"/>
      <c r="U398" s="331"/>
      <c r="V398" s="331"/>
      <c r="W398" s="331"/>
      <c r="X398" s="331"/>
      <c r="Y398" s="331"/>
      <c r="Z398" s="331"/>
      <c r="AA398" s="331"/>
      <c r="AB398" s="331"/>
      <c r="AC398" s="331"/>
      <c r="AD398" s="331"/>
      <c r="AE398" s="331"/>
      <c r="AF398" s="331"/>
      <c r="AG398" s="331"/>
      <c r="AH398" s="331"/>
      <c r="AI398" s="331"/>
      <c r="AJ398" s="331"/>
      <c r="AK398" s="331"/>
      <c r="AL398" s="331"/>
      <c r="AM398" s="331"/>
      <c r="AN398" s="331"/>
      <c r="AO398" s="331"/>
      <c r="AP398" s="331"/>
      <c r="AQ398" s="331"/>
      <c r="AR398" s="331"/>
      <c r="AS398" s="331"/>
      <c r="AT398" s="331"/>
      <c r="AU398" s="331"/>
      <c r="AV398" s="331"/>
      <c r="AW398" s="331"/>
      <c r="AX398" s="331"/>
      <c r="AY398" s="331"/>
      <c r="AZ398" s="331"/>
      <c r="BA398" s="331"/>
      <c r="BB398" s="331"/>
      <c r="BC398" s="331"/>
      <c r="BD398" s="331"/>
      <c r="BE398" s="331"/>
      <c r="BF398" s="331"/>
      <c r="BG398" s="331"/>
      <c r="BH398" s="331"/>
      <c r="BI398" s="331"/>
      <c r="BJ398" s="331"/>
      <c r="BK398" s="331"/>
      <c r="BL398" s="331">
        <f>+BL463</f>
        <v>0</v>
      </c>
      <c r="BM398" s="331">
        <f>+IF($F$10=0,BM463,0)</f>
        <v>0</v>
      </c>
      <c r="BN398" s="331"/>
      <c r="BO398" s="331"/>
      <c r="BP398" s="331"/>
      <c r="BQ398" s="331"/>
      <c r="BR398" s="331"/>
      <c r="BS398" s="331"/>
      <c r="BT398" s="331"/>
      <c r="BU398" s="331"/>
      <c r="BV398" s="331"/>
      <c r="BW398" s="331"/>
      <c r="BX398" s="331"/>
      <c r="BY398" s="331"/>
      <c r="BZ398" s="331"/>
      <c r="CA398" s="331"/>
      <c r="CB398" s="331"/>
      <c r="CC398" s="331"/>
      <c r="CD398" s="331"/>
      <c r="CE398" s="331"/>
      <c r="CF398" s="331"/>
      <c r="CG398" s="331"/>
      <c r="CH398" s="331"/>
      <c r="CI398" s="331"/>
      <c r="CJ398" s="331"/>
      <c r="CK398" s="331"/>
      <c r="CL398" s="331"/>
      <c r="CM398" s="331"/>
      <c r="CN398" s="331"/>
      <c r="CO398" s="331"/>
      <c r="CP398" s="331"/>
      <c r="CQ398" s="331"/>
      <c r="CR398" s="331"/>
      <c r="CS398" s="331"/>
      <c r="CT398" s="331"/>
      <c r="CU398" s="331"/>
      <c r="CV398" s="331"/>
      <c r="CW398" s="331"/>
      <c r="CX398" s="331"/>
      <c r="CY398" s="331"/>
      <c r="CZ398" s="331"/>
      <c r="DA398" s="331"/>
      <c r="DB398" s="331"/>
      <c r="DC398" s="331"/>
      <c r="DD398" s="331"/>
      <c r="DE398" s="331"/>
      <c r="DF398" s="331"/>
      <c r="DG398" s="331"/>
      <c r="DH398" s="331"/>
      <c r="DI398" s="331"/>
      <c r="DJ398" s="331"/>
      <c r="DK398" s="331"/>
      <c r="DL398" s="331"/>
      <c r="DM398" s="331"/>
      <c r="DN398" s="331"/>
      <c r="DO398" s="331"/>
      <c r="DP398" s="331"/>
      <c r="DQ398" s="331"/>
      <c r="DR398" s="331"/>
      <c r="DS398" s="331"/>
    </row>
    <row r="399" spans="5:124" ht="15.75">
      <c r="E399" s="416">
        <f t="shared" si="207"/>
        <v>45274</v>
      </c>
      <c r="F399" s="331"/>
      <c r="G399" s="331"/>
      <c r="H399" s="331"/>
      <c r="I399" s="331"/>
      <c r="J399" s="331"/>
      <c r="K399" s="331"/>
      <c r="L399" s="331"/>
      <c r="M399" s="331"/>
      <c r="N399" s="331"/>
      <c r="O399" s="331"/>
      <c r="P399" s="331"/>
      <c r="Q399" s="331"/>
      <c r="R399" s="331"/>
      <c r="S399" s="331"/>
      <c r="T399" s="331"/>
      <c r="U399" s="331"/>
      <c r="V399" s="331"/>
      <c r="W399" s="331"/>
      <c r="X399" s="331"/>
      <c r="Y399" s="331"/>
      <c r="Z399" s="331"/>
      <c r="AA399" s="331"/>
      <c r="AB399" s="331"/>
      <c r="AC399" s="331"/>
      <c r="AD399" s="331"/>
      <c r="AE399" s="331"/>
      <c r="AF399" s="331"/>
      <c r="AG399" s="331"/>
      <c r="AH399" s="331"/>
      <c r="AI399" s="331"/>
      <c r="AJ399" s="331"/>
      <c r="AK399" s="331"/>
      <c r="AL399" s="331"/>
      <c r="AM399" s="331"/>
      <c r="AN399" s="331"/>
      <c r="AO399" s="331"/>
      <c r="AP399" s="331"/>
      <c r="AQ399" s="331"/>
      <c r="AR399" s="331"/>
      <c r="AS399" s="331"/>
      <c r="AT399" s="331"/>
      <c r="AU399" s="331"/>
      <c r="AV399" s="331"/>
      <c r="AW399" s="331"/>
      <c r="AX399" s="331"/>
      <c r="AY399" s="331"/>
      <c r="AZ399" s="331"/>
      <c r="BA399" s="331"/>
      <c r="BB399" s="331"/>
      <c r="BC399" s="331"/>
      <c r="BD399" s="331"/>
      <c r="BE399" s="331"/>
      <c r="BF399" s="331"/>
      <c r="BG399" s="331"/>
      <c r="BH399" s="331"/>
      <c r="BI399" s="331"/>
      <c r="BJ399" s="331"/>
      <c r="BK399" s="331"/>
      <c r="BL399" s="331"/>
      <c r="BM399" s="331">
        <f>+BM464</f>
        <v>0</v>
      </c>
      <c r="BN399" s="331"/>
      <c r="BO399" s="331"/>
      <c r="BP399" s="331"/>
      <c r="BQ399" s="331"/>
      <c r="BR399" s="331"/>
      <c r="BS399" s="331"/>
      <c r="BT399" s="331"/>
      <c r="BU399" s="331"/>
      <c r="BV399" s="331"/>
      <c r="BW399" s="331"/>
      <c r="BX399" s="331"/>
      <c r="BY399" s="331"/>
      <c r="BZ399" s="331"/>
      <c r="CA399" s="331"/>
      <c r="CB399" s="331"/>
      <c r="CC399" s="331"/>
      <c r="CD399" s="331"/>
      <c r="CE399" s="331"/>
      <c r="CF399" s="331"/>
      <c r="CG399" s="331"/>
      <c r="CH399" s="331"/>
      <c r="CI399" s="331"/>
      <c r="CJ399" s="331"/>
      <c r="CK399" s="331"/>
      <c r="CL399" s="331"/>
      <c r="CM399" s="331"/>
      <c r="CN399" s="331"/>
      <c r="CO399" s="331"/>
      <c r="CP399" s="331"/>
      <c r="CQ399" s="331"/>
      <c r="CR399" s="331"/>
      <c r="CS399" s="331"/>
      <c r="CT399" s="331"/>
      <c r="CU399" s="331"/>
      <c r="CV399" s="331"/>
      <c r="CW399" s="331"/>
      <c r="CX399" s="331"/>
      <c r="CY399" s="331"/>
      <c r="CZ399" s="331"/>
      <c r="DA399" s="331"/>
      <c r="DB399" s="331"/>
      <c r="DC399" s="331"/>
      <c r="DD399" s="331"/>
      <c r="DE399" s="331"/>
      <c r="DF399" s="331"/>
      <c r="DG399" s="331"/>
      <c r="DH399" s="331"/>
      <c r="DI399" s="331"/>
      <c r="DJ399" s="331"/>
      <c r="DK399" s="331"/>
      <c r="DL399" s="331"/>
      <c r="DM399" s="331"/>
      <c r="DN399" s="331"/>
      <c r="DO399" s="331"/>
      <c r="DP399" s="331"/>
      <c r="DQ399" s="331"/>
      <c r="DR399" s="331"/>
      <c r="DS399" s="331"/>
      <c r="DT399" s="331"/>
    </row>
    <row r="404" spans="6:65" s="113" customFormat="1" ht="36" customHeight="1">
      <c r="F404" s="416">
        <v>43466</v>
      </c>
      <c r="G404" s="416">
        <f>+F404+31</f>
        <v>43497</v>
      </c>
      <c r="H404" s="416">
        <f aca="true" t="shared" si="208" ref="H404:BA404">+G404+31</f>
        <v>43528</v>
      </c>
      <c r="I404" s="416">
        <f t="shared" si="208"/>
        <v>43559</v>
      </c>
      <c r="J404" s="416">
        <f t="shared" si="208"/>
        <v>43590</v>
      </c>
      <c r="K404" s="416">
        <f t="shared" si="208"/>
        <v>43621</v>
      </c>
      <c r="L404" s="416">
        <f t="shared" si="208"/>
        <v>43652</v>
      </c>
      <c r="M404" s="416">
        <f t="shared" si="208"/>
        <v>43683</v>
      </c>
      <c r="N404" s="416">
        <f t="shared" si="208"/>
        <v>43714</v>
      </c>
      <c r="O404" s="416">
        <f t="shared" si="208"/>
        <v>43745</v>
      </c>
      <c r="P404" s="416">
        <f t="shared" si="208"/>
        <v>43776</v>
      </c>
      <c r="Q404" s="416">
        <f t="shared" si="208"/>
        <v>43807</v>
      </c>
      <c r="R404" s="416">
        <f t="shared" si="208"/>
        <v>43838</v>
      </c>
      <c r="S404" s="416">
        <f t="shared" si="208"/>
        <v>43869</v>
      </c>
      <c r="T404" s="416">
        <f t="shared" si="208"/>
        <v>43900</v>
      </c>
      <c r="U404" s="416">
        <f t="shared" si="208"/>
        <v>43931</v>
      </c>
      <c r="V404" s="416">
        <f t="shared" si="208"/>
        <v>43962</v>
      </c>
      <c r="W404" s="416">
        <f t="shared" si="208"/>
        <v>43993</v>
      </c>
      <c r="X404" s="416">
        <f t="shared" si="208"/>
        <v>44024</v>
      </c>
      <c r="Y404" s="416">
        <f t="shared" si="208"/>
        <v>44055</v>
      </c>
      <c r="Z404" s="416">
        <f t="shared" si="208"/>
        <v>44086</v>
      </c>
      <c r="AA404" s="416">
        <f t="shared" si="208"/>
        <v>44117</v>
      </c>
      <c r="AB404" s="416">
        <f t="shared" si="208"/>
        <v>44148</v>
      </c>
      <c r="AC404" s="416">
        <f t="shared" si="208"/>
        <v>44179</v>
      </c>
      <c r="AD404" s="416">
        <f t="shared" si="208"/>
        <v>44210</v>
      </c>
      <c r="AE404" s="416">
        <f t="shared" si="208"/>
        <v>44241</v>
      </c>
      <c r="AF404" s="416">
        <f t="shared" si="208"/>
        <v>44272</v>
      </c>
      <c r="AG404" s="416">
        <f t="shared" si="208"/>
        <v>44303</v>
      </c>
      <c r="AH404" s="416">
        <f t="shared" si="208"/>
        <v>44334</v>
      </c>
      <c r="AI404" s="416">
        <f t="shared" si="208"/>
        <v>44365</v>
      </c>
      <c r="AJ404" s="416">
        <f t="shared" si="208"/>
        <v>44396</v>
      </c>
      <c r="AK404" s="416">
        <f t="shared" si="208"/>
        <v>44427</v>
      </c>
      <c r="AL404" s="416">
        <f t="shared" si="208"/>
        <v>44458</v>
      </c>
      <c r="AM404" s="416">
        <f t="shared" si="208"/>
        <v>44489</v>
      </c>
      <c r="AN404" s="416">
        <f t="shared" si="208"/>
        <v>44520</v>
      </c>
      <c r="AO404" s="416">
        <f t="shared" si="208"/>
        <v>44551</v>
      </c>
      <c r="AP404" s="416">
        <f t="shared" si="208"/>
        <v>44582</v>
      </c>
      <c r="AQ404" s="416">
        <f t="shared" si="208"/>
        <v>44613</v>
      </c>
      <c r="AR404" s="416">
        <f t="shared" si="208"/>
        <v>44644</v>
      </c>
      <c r="AS404" s="416">
        <f t="shared" si="208"/>
        <v>44675</v>
      </c>
      <c r="AT404" s="416">
        <f t="shared" si="208"/>
        <v>44706</v>
      </c>
      <c r="AU404" s="416">
        <f t="shared" si="208"/>
        <v>44737</v>
      </c>
      <c r="AV404" s="416">
        <f t="shared" si="208"/>
        <v>44768</v>
      </c>
      <c r="AW404" s="416">
        <f t="shared" si="208"/>
        <v>44799</v>
      </c>
      <c r="AX404" s="416">
        <f t="shared" si="208"/>
        <v>44830</v>
      </c>
      <c r="AY404" s="416">
        <f t="shared" si="208"/>
        <v>44861</v>
      </c>
      <c r="AZ404" s="416">
        <f t="shared" si="208"/>
        <v>44892</v>
      </c>
      <c r="BA404" s="416">
        <f t="shared" si="208"/>
        <v>44923</v>
      </c>
      <c r="BB404" s="416">
        <f aca="true" t="shared" si="209" ref="BB404">+BA404+31</f>
        <v>44954</v>
      </c>
      <c r="BC404" s="416">
        <f aca="true" t="shared" si="210" ref="BC404">+BB404+31</f>
        <v>44985</v>
      </c>
      <c r="BD404" s="416">
        <f aca="true" t="shared" si="211" ref="BD404">+BC404+31</f>
        <v>45016</v>
      </c>
      <c r="BE404" s="416">
        <f>+BD404+10</f>
        <v>45026</v>
      </c>
      <c r="BF404" s="416">
        <f aca="true" t="shared" si="212" ref="BF404">+BE404+31</f>
        <v>45057</v>
      </c>
      <c r="BG404" s="416">
        <f aca="true" t="shared" si="213" ref="BG404">+BF404+31</f>
        <v>45088</v>
      </c>
      <c r="BH404" s="416">
        <f aca="true" t="shared" si="214" ref="BH404">+BG404+31</f>
        <v>45119</v>
      </c>
      <c r="BI404" s="416">
        <f aca="true" t="shared" si="215" ref="BI404">+BH404+31</f>
        <v>45150</v>
      </c>
      <c r="BJ404" s="416">
        <f aca="true" t="shared" si="216" ref="BJ404">+BI404+31</f>
        <v>45181</v>
      </c>
      <c r="BK404" s="416">
        <f aca="true" t="shared" si="217" ref="BK404">+BJ404+31</f>
        <v>45212</v>
      </c>
      <c r="BL404" s="416">
        <f aca="true" t="shared" si="218" ref="BL404">+BK404+31</f>
        <v>45243</v>
      </c>
      <c r="BM404" s="416">
        <f aca="true" t="shared" si="219" ref="BM404">+BL404+31</f>
        <v>45274</v>
      </c>
    </row>
    <row r="405" spans="5:65" s="331" customFormat="1" ht="15.75">
      <c r="E405" s="416">
        <v>43466</v>
      </c>
      <c r="F405" s="331">
        <f aca="true" t="shared" si="220" ref="F405:AK405">+($F469/$F$9)</f>
        <v>0</v>
      </c>
      <c r="G405" s="331">
        <f t="shared" si="220"/>
        <v>0</v>
      </c>
      <c r="H405" s="331">
        <f t="shared" si="220"/>
        <v>0</v>
      </c>
      <c r="I405" s="331">
        <f t="shared" si="220"/>
        <v>0</v>
      </c>
      <c r="J405" s="331">
        <f t="shared" si="220"/>
        <v>0</v>
      </c>
      <c r="K405" s="331">
        <f t="shared" si="220"/>
        <v>0</v>
      </c>
      <c r="L405" s="331">
        <f t="shared" si="220"/>
        <v>0</v>
      </c>
      <c r="M405" s="331">
        <f t="shared" si="220"/>
        <v>0</v>
      </c>
      <c r="N405" s="331">
        <f t="shared" si="220"/>
        <v>0</v>
      </c>
      <c r="O405" s="331">
        <f t="shared" si="220"/>
        <v>0</v>
      </c>
      <c r="P405" s="331">
        <f t="shared" si="220"/>
        <v>0</v>
      </c>
      <c r="Q405" s="331">
        <f t="shared" si="220"/>
        <v>0</v>
      </c>
      <c r="R405" s="331">
        <f t="shared" si="220"/>
        <v>0</v>
      </c>
      <c r="S405" s="331">
        <f t="shared" si="220"/>
        <v>0</v>
      </c>
      <c r="T405" s="331">
        <f t="shared" si="220"/>
        <v>0</v>
      </c>
      <c r="U405" s="331">
        <f t="shared" si="220"/>
        <v>0</v>
      </c>
      <c r="V405" s="331">
        <f t="shared" si="220"/>
        <v>0</v>
      </c>
      <c r="W405" s="331">
        <f t="shared" si="220"/>
        <v>0</v>
      </c>
      <c r="X405" s="331">
        <f t="shared" si="220"/>
        <v>0</v>
      </c>
      <c r="Y405" s="331">
        <f t="shared" si="220"/>
        <v>0</v>
      </c>
      <c r="Z405" s="331">
        <f t="shared" si="220"/>
        <v>0</v>
      </c>
      <c r="AA405" s="331">
        <f t="shared" si="220"/>
        <v>0</v>
      </c>
      <c r="AB405" s="331">
        <f t="shared" si="220"/>
        <v>0</v>
      </c>
      <c r="AC405" s="331">
        <f t="shared" si="220"/>
        <v>0</v>
      </c>
      <c r="AD405" s="331">
        <f t="shared" si="220"/>
        <v>0</v>
      </c>
      <c r="AE405" s="331">
        <f t="shared" si="220"/>
        <v>0</v>
      </c>
      <c r="AF405" s="331">
        <f t="shared" si="220"/>
        <v>0</v>
      </c>
      <c r="AG405" s="331">
        <f t="shared" si="220"/>
        <v>0</v>
      </c>
      <c r="AH405" s="331">
        <f t="shared" si="220"/>
        <v>0</v>
      </c>
      <c r="AI405" s="331">
        <f t="shared" si="220"/>
        <v>0</v>
      </c>
      <c r="AJ405" s="331">
        <f t="shared" si="220"/>
        <v>0</v>
      </c>
      <c r="AK405" s="331">
        <f t="shared" si="220"/>
        <v>0</v>
      </c>
      <c r="AL405" s="331">
        <f aca="true" t="shared" si="221" ref="AL405:BM405">+($F469/$F$9)</f>
        <v>0</v>
      </c>
      <c r="AM405" s="331">
        <f t="shared" si="221"/>
        <v>0</v>
      </c>
      <c r="AN405" s="331">
        <f t="shared" si="221"/>
        <v>0</v>
      </c>
      <c r="AO405" s="331">
        <f t="shared" si="221"/>
        <v>0</v>
      </c>
      <c r="AP405" s="331">
        <f t="shared" si="221"/>
        <v>0</v>
      </c>
      <c r="AQ405" s="331">
        <f t="shared" si="221"/>
        <v>0</v>
      </c>
      <c r="AR405" s="331">
        <f t="shared" si="221"/>
        <v>0</v>
      </c>
      <c r="AS405" s="331">
        <f t="shared" si="221"/>
        <v>0</v>
      </c>
      <c r="AT405" s="331">
        <f t="shared" si="221"/>
        <v>0</v>
      </c>
      <c r="AU405" s="331">
        <f t="shared" si="221"/>
        <v>0</v>
      </c>
      <c r="AV405" s="331">
        <f t="shared" si="221"/>
        <v>0</v>
      </c>
      <c r="AW405" s="331">
        <f t="shared" si="221"/>
        <v>0</v>
      </c>
      <c r="AX405" s="331">
        <f t="shared" si="221"/>
        <v>0</v>
      </c>
      <c r="AY405" s="331">
        <f t="shared" si="221"/>
        <v>0</v>
      </c>
      <c r="AZ405" s="331">
        <f t="shared" si="221"/>
        <v>0</v>
      </c>
      <c r="BA405" s="331">
        <f t="shared" si="221"/>
        <v>0</v>
      </c>
      <c r="BB405" s="331">
        <f t="shared" si="221"/>
        <v>0</v>
      </c>
      <c r="BC405" s="331">
        <f t="shared" si="221"/>
        <v>0</v>
      </c>
      <c r="BD405" s="331">
        <f t="shared" si="221"/>
        <v>0</v>
      </c>
      <c r="BE405" s="331">
        <f t="shared" si="221"/>
        <v>0</v>
      </c>
      <c r="BF405" s="331">
        <f t="shared" si="221"/>
        <v>0</v>
      </c>
      <c r="BG405" s="331">
        <f t="shared" si="221"/>
        <v>0</v>
      </c>
      <c r="BH405" s="331">
        <f t="shared" si="221"/>
        <v>0</v>
      </c>
      <c r="BI405" s="331">
        <f t="shared" si="221"/>
        <v>0</v>
      </c>
      <c r="BJ405" s="331">
        <f t="shared" si="221"/>
        <v>0</v>
      </c>
      <c r="BK405" s="331">
        <f t="shared" si="221"/>
        <v>0</v>
      </c>
      <c r="BL405" s="331">
        <f t="shared" si="221"/>
        <v>0</v>
      </c>
      <c r="BM405" s="331">
        <f t="shared" si="221"/>
        <v>0</v>
      </c>
    </row>
    <row r="406" spans="5:65" ht="15.75">
      <c r="E406" s="416">
        <f>+E405+31</f>
        <v>43497</v>
      </c>
      <c r="F406" s="331"/>
      <c r="G406" s="331">
        <f aca="true" t="shared" si="222" ref="G406:AL406">+($F470/$F$9)</f>
        <v>0</v>
      </c>
      <c r="H406" s="331">
        <f t="shared" si="222"/>
        <v>0</v>
      </c>
      <c r="I406" s="331">
        <f t="shared" si="222"/>
        <v>0</v>
      </c>
      <c r="J406" s="331">
        <f t="shared" si="222"/>
        <v>0</v>
      </c>
      <c r="K406" s="331">
        <f t="shared" si="222"/>
        <v>0</v>
      </c>
      <c r="L406" s="331">
        <f t="shared" si="222"/>
        <v>0</v>
      </c>
      <c r="M406" s="331">
        <f t="shared" si="222"/>
        <v>0</v>
      </c>
      <c r="N406" s="331">
        <f t="shared" si="222"/>
        <v>0</v>
      </c>
      <c r="O406" s="331">
        <f t="shared" si="222"/>
        <v>0</v>
      </c>
      <c r="P406" s="331">
        <f t="shared" si="222"/>
        <v>0</v>
      </c>
      <c r="Q406" s="331">
        <f t="shared" si="222"/>
        <v>0</v>
      </c>
      <c r="R406" s="331">
        <f t="shared" si="222"/>
        <v>0</v>
      </c>
      <c r="S406" s="331">
        <f t="shared" si="222"/>
        <v>0</v>
      </c>
      <c r="T406" s="331">
        <f t="shared" si="222"/>
        <v>0</v>
      </c>
      <c r="U406" s="331">
        <f t="shared" si="222"/>
        <v>0</v>
      </c>
      <c r="V406" s="331">
        <f t="shared" si="222"/>
        <v>0</v>
      </c>
      <c r="W406" s="331">
        <f t="shared" si="222"/>
        <v>0</v>
      </c>
      <c r="X406" s="331">
        <f t="shared" si="222"/>
        <v>0</v>
      </c>
      <c r="Y406" s="331">
        <f t="shared" si="222"/>
        <v>0</v>
      </c>
      <c r="Z406" s="331">
        <f t="shared" si="222"/>
        <v>0</v>
      </c>
      <c r="AA406" s="331">
        <f t="shared" si="222"/>
        <v>0</v>
      </c>
      <c r="AB406" s="331">
        <f t="shared" si="222"/>
        <v>0</v>
      </c>
      <c r="AC406" s="331">
        <f t="shared" si="222"/>
        <v>0</v>
      </c>
      <c r="AD406" s="331">
        <f t="shared" si="222"/>
        <v>0</v>
      </c>
      <c r="AE406" s="331">
        <f t="shared" si="222"/>
        <v>0</v>
      </c>
      <c r="AF406" s="331">
        <f t="shared" si="222"/>
        <v>0</v>
      </c>
      <c r="AG406" s="331">
        <f t="shared" si="222"/>
        <v>0</v>
      </c>
      <c r="AH406" s="331">
        <f t="shared" si="222"/>
        <v>0</v>
      </c>
      <c r="AI406" s="331">
        <f t="shared" si="222"/>
        <v>0</v>
      </c>
      <c r="AJ406" s="331">
        <f t="shared" si="222"/>
        <v>0</v>
      </c>
      <c r="AK406" s="331">
        <f t="shared" si="222"/>
        <v>0</v>
      </c>
      <c r="AL406" s="331">
        <f t="shared" si="222"/>
        <v>0</v>
      </c>
      <c r="AM406" s="331">
        <f aca="true" t="shared" si="223" ref="AM406:BM406">+($F470/$F$9)</f>
        <v>0</v>
      </c>
      <c r="AN406" s="331">
        <f t="shared" si="223"/>
        <v>0</v>
      </c>
      <c r="AO406" s="331">
        <f t="shared" si="223"/>
        <v>0</v>
      </c>
      <c r="AP406" s="331">
        <f t="shared" si="223"/>
        <v>0</v>
      </c>
      <c r="AQ406" s="331">
        <f t="shared" si="223"/>
        <v>0</v>
      </c>
      <c r="AR406" s="331">
        <f t="shared" si="223"/>
        <v>0</v>
      </c>
      <c r="AS406" s="331">
        <f t="shared" si="223"/>
        <v>0</v>
      </c>
      <c r="AT406" s="331">
        <f t="shared" si="223"/>
        <v>0</v>
      </c>
      <c r="AU406" s="331">
        <f t="shared" si="223"/>
        <v>0</v>
      </c>
      <c r="AV406" s="331">
        <f t="shared" si="223"/>
        <v>0</v>
      </c>
      <c r="AW406" s="331">
        <f t="shared" si="223"/>
        <v>0</v>
      </c>
      <c r="AX406" s="331">
        <f t="shared" si="223"/>
        <v>0</v>
      </c>
      <c r="AY406" s="331">
        <f t="shared" si="223"/>
        <v>0</v>
      </c>
      <c r="AZ406" s="331">
        <f t="shared" si="223"/>
        <v>0</v>
      </c>
      <c r="BA406" s="331">
        <f t="shared" si="223"/>
        <v>0</v>
      </c>
      <c r="BB406" s="331">
        <f t="shared" si="223"/>
        <v>0</v>
      </c>
      <c r="BC406" s="331">
        <f t="shared" si="223"/>
        <v>0</v>
      </c>
      <c r="BD406" s="331">
        <f t="shared" si="223"/>
        <v>0</v>
      </c>
      <c r="BE406" s="331">
        <f t="shared" si="223"/>
        <v>0</v>
      </c>
      <c r="BF406" s="331">
        <f t="shared" si="223"/>
        <v>0</v>
      </c>
      <c r="BG406" s="331">
        <f t="shared" si="223"/>
        <v>0</v>
      </c>
      <c r="BH406" s="331">
        <f t="shared" si="223"/>
        <v>0</v>
      </c>
      <c r="BI406" s="331">
        <f t="shared" si="223"/>
        <v>0</v>
      </c>
      <c r="BJ406" s="331">
        <f t="shared" si="223"/>
        <v>0</v>
      </c>
      <c r="BK406" s="331">
        <f t="shared" si="223"/>
        <v>0</v>
      </c>
      <c r="BL406" s="331">
        <f t="shared" si="223"/>
        <v>0</v>
      </c>
      <c r="BM406" s="331">
        <f t="shared" si="223"/>
        <v>0</v>
      </c>
    </row>
    <row r="407" spans="5:65" ht="15.75">
      <c r="E407" s="416">
        <f aca="true" t="shared" si="224" ref="E407:E464">+E406+31</f>
        <v>43528</v>
      </c>
      <c r="F407" s="331"/>
      <c r="G407" s="331"/>
      <c r="H407" s="331">
        <f aca="true" t="shared" si="225" ref="H407:AM407">+($F471/$F$9)</f>
        <v>0</v>
      </c>
      <c r="I407" s="331">
        <f t="shared" si="225"/>
        <v>0</v>
      </c>
      <c r="J407" s="331">
        <f t="shared" si="225"/>
        <v>0</v>
      </c>
      <c r="K407" s="331">
        <f t="shared" si="225"/>
        <v>0</v>
      </c>
      <c r="L407" s="331">
        <f t="shared" si="225"/>
        <v>0</v>
      </c>
      <c r="M407" s="331">
        <f t="shared" si="225"/>
        <v>0</v>
      </c>
      <c r="N407" s="331">
        <f t="shared" si="225"/>
        <v>0</v>
      </c>
      <c r="O407" s="331">
        <f t="shared" si="225"/>
        <v>0</v>
      </c>
      <c r="P407" s="331">
        <f t="shared" si="225"/>
        <v>0</v>
      </c>
      <c r="Q407" s="331">
        <f t="shared" si="225"/>
        <v>0</v>
      </c>
      <c r="R407" s="331">
        <f t="shared" si="225"/>
        <v>0</v>
      </c>
      <c r="S407" s="331">
        <f t="shared" si="225"/>
        <v>0</v>
      </c>
      <c r="T407" s="331">
        <f t="shared" si="225"/>
        <v>0</v>
      </c>
      <c r="U407" s="331">
        <f t="shared" si="225"/>
        <v>0</v>
      </c>
      <c r="V407" s="331">
        <f t="shared" si="225"/>
        <v>0</v>
      </c>
      <c r="W407" s="331">
        <f t="shared" si="225"/>
        <v>0</v>
      </c>
      <c r="X407" s="331">
        <f t="shared" si="225"/>
        <v>0</v>
      </c>
      <c r="Y407" s="331">
        <f t="shared" si="225"/>
        <v>0</v>
      </c>
      <c r="Z407" s="331">
        <f t="shared" si="225"/>
        <v>0</v>
      </c>
      <c r="AA407" s="331">
        <f t="shared" si="225"/>
        <v>0</v>
      </c>
      <c r="AB407" s="331">
        <f t="shared" si="225"/>
        <v>0</v>
      </c>
      <c r="AC407" s="331">
        <f t="shared" si="225"/>
        <v>0</v>
      </c>
      <c r="AD407" s="331">
        <f t="shared" si="225"/>
        <v>0</v>
      </c>
      <c r="AE407" s="331">
        <f t="shared" si="225"/>
        <v>0</v>
      </c>
      <c r="AF407" s="331">
        <f t="shared" si="225"/>
        <v>0</v>
      </c>
      <c r="AG407" s="331">
        <f t="shared" si="225"/>
        <v>0</v>
      </c>
      <c r="AH407" s="331">
        <f t="shared" si="225"/>
        <v>0</v>
      </c>
      <c r="AI407" s="331">
        <f t="shared" si="225"/>
        <v>0</v>
      </c>
      <c r="AJ407" s="331">
        <f t="shared" si="225"/>
        <v>0</v>
      </c>
      <c r="AK407" s="331">
        <f t="shared" si="225"/>
        <v>0</v>
      </c>
      <c r="AL407" s="331">
        <f t="shared" si="225"/>
        <v>0</v>
      </c>
      <c r="AM407" s="331">
        <f t="shared" si="225"/>
        <v>0</v>
      </c>
      <c r="AN407" s="331">
        <f aca="true" t="shared" si="226" ref="AN407:BM407">+($F471/$F$9)</f>
        <v>0</v>
      </c>
      <c r="AO407" s="331">
        <f t="shared" si="226"/>
        <v>0</v>
      </c>
      <c r="AP407" s="331">
        <f t="shared" si="226"/>
        <v>0</v>
      </c>
      <c r="AQ407" s="331">
        <f t="shared" si="226"/>
        <v>0</v>
      </c>
      <c r="AR407" s="331">
        <f t="shared" si="226"/>
        <v>0</v>
      </c>
      <c r="AS407" s="331">
        <f t="shared" si="226"/>
        <v>0</v>
      </c>
      <c r="AT407" s="331">
        <f t="shared" si="226"/>
        <v>0</v>
      </c>
      <c r="AU407" s="331">
        <f t="shared" si="226"/>
        <v>0</v>
      </c>
      <c r="AV407" s="331">
        <f t="shared" si="226"/>
        <v>0</v>
      </c>
      <c r="AW407" s="331">
        <f t="shared" si="226"/>
        <v>0</v>
      </c>
      <c r="AX407" s="331">
        <f t="shared" si="226"/>
        <v>0</v>
      </c>
      <c r="AY407" s="331">
        <f t="shared" si="226"/>
        <v>0</v>
      </c>
      <c r="AZ407" s="331">
        <f t="shared" si="226"/>
        <v>0</v>
      </c>
      <c r="BA407" s="331">
        <f t="shared" si="226"/>
        <v>0</v>
      </c>
      <c r="BB407" s="331">
        <f t="shared" si="226"/>
        <v>0</v>
      </c>
      <c r="BC407" s="331">
        <f t="shared" si="226"/>
        <v>0</v>
      </c>
      <c r="BD407" s="331">
        <f t="shared" si="226"/>
        <v>0</v>
      </c>
      <c r="BE407" s="331">
        <f t="shared" si="226"/>
        <v>0</v>
      </c>
      <c r="BF407" s="331">
        <f t="shared" si="226"/>
        <v>0</v>
      </c>
      <c r="BG407" s="331">
        <f t="shared" si="226"/>
        <v>0</v>
      </c>
      <c r="BH407" s="331">
        <f t="shared" si="226"/>
        <v>0</v>
      </c>
      <c r="BI407" s="331">
        <f t="shared" si="226"/>
        <v>0</v>
      </c>
      <c r="BJ407" s="331">
        <f t="shared" si="226"/>
        <v>0</v>
      </c>
      <c r="BK407" s="331">
        <f t="shared" si="226"/>
        <v>0</v>
      </c>
      <c r="BL407" s="331">
        <f t="shared" si="226"/>
        <v>0</v>
      </c>
      <c r="BM407" s="331">
        <f t="shared" si="226"/>
        <v>0</v>
      </c>
    </row>
    <row r="408" spans="5:65" ht="15.75">
      <c r="E408" s="416">
        <f t="shared" si="224"/>
        <v>43559</v>
      </c>
      <c r="F408" s="331"/>
      <c r="G408" s="331"/>
      <c r="H408" s="331"/>
      <c r="I408" s="331">
        <f aca="true" t="shared" si="227" ref="I408:AN408">+($F472/$F$9)</f>
        <v>0</v>
      </c>
      <c r="J408" s="331">
        <f t="shared" si="227"/>
        <v>0</v>
      </c>
      <c r="K408" s="331">
        <f t="shared" si="227"/>
        <v>0</v>
      </c>
      <c r="L408" s="331">
        <f t="shared" si="227"/>
        <v>0</v>
      </c>
      <c r="M408" s="331">
        <f t="shared" si="227"/>
        <v>0</v>
      </c>
      <c r="N408" s="331">
        <f t="shared" si="227"/>
        <v>0</v>
      </c>
      <c r="O408" s="331">
        <f t="shared" si="227"/>
        <v>0</v>
      </c>
      <c r="P408" s="331">
        <f t="shared" si="227"/>
        <v>0</v>
      </c>
      <c r="Q408" s="331">
        <f t="shared" si="227"/>
        <v>0</v>
      </c>
      <c r="R408" s="331">
        <f t="shared" si="227"/>
        <v>0</v>
      </c>
      <c r="S408" s="331">
        <f t="shared" si="227"/>
        <v>0</v>
      </c>
      <c r="T408" s="331">
        <f t="shared" si="227"/>
        <v>0</v>
      </c>
      <c r="U408" s="331">
        <f t="shared" si="227"/>
        <v>0</v>
      </c>
      <c r="V408" s="331">
        <f t="shared" si="227"/>
        <v>0</v>
      </c>
      <c r="W408" s="331">
        <f t="shared" si="227"/>
        <v>0</v>
      </c>
      <c r="X408" s="331">
        <f t="shared" si="227"/>
        <v>0</v>
      </c>
      <c r="Y408" s="331">
        <f t="shared" si="227"/>
        <v>0</v>
      </c>
      <c r="Z408" s="331">
        <f t="shared" si="227"/>
        <v>0</v>
      </c>
      <c r="AA408" s="331">
        <f t="shared" si="227"/>
        <v>0</v>
      </c>
      <c r="AB408" s="331">
        <f t="shared" si="227"/>
        <v>0</v>
      </c>
      <c r="AC408" s="331">
        <f t="shared" si="227"/>
        <v>0</v>
      </c>
      <c r="AD408" s="331">
        <f t="shared" si="227"/>
        <v>0</v>
      </c>
      <c r="AE408" s="331">
        <f t="shared" si="227"/>
        <v>0</v>
      </c>
      <c r="AF408" s="331">
        <f t="shared" si="227"/>
        <v>0</v>
      </c>
      <c r="AG408" s="331">
        <f t="shared" si="227"/>
        <v>0</v>
      </c>
      <c r="AH408" s="331">
        <f t="shared" si="227"/>
        <v>0</v>
      </c>
      <c r="AI408" s="331">
        <f t="shared" si="227"/>
        <v>0</v>
      </c>
      <c r="AJ408" s="331">
        <f t="shared" si="227"/>
        <v>0</v>
      </c>
      <c r="AK408" s="331">
        <f t="shared" si="227"/>
        <v>0</v>
      </c>
      <c r="AL408" s="331">
        <f t="shared" si="227"/>
        <v>0</v>
      </c>
      <c r="AM408" s="331">
        <f t="shared" si="227"/>
        <v>0</v>
      </c>
      <c r="AN408" s="331">
        <f t="shared" si="227"/>
        <v>0</v>
      </c>
      <c r="AO408" s="331">
        <f aca="true" t="shared" si="228" ref="AO408:BM408">+($F472/$F$9)</f>
        <v>0</v>
      </c>
      <c r="AP408" s="331">
        <f t="shared" si="228"/>
        <v>0</v>
      </c>
      <c r="AQ408" s="331">
        <f t="shared" si="228"/>
        <v>0</v>
      </c>
      <c r="AR408" s="331">
        <f t="shared" si="228"/>
        <v>0</v>
      </c>
      <c r="AS408" s="331">
        <f t="shared" si="228"/>
        <v>0</v>
      </c>
      <c r="AT408" s="331">
        <f t="shared" si="228"/>
        <v>0</v>
      </c>
      <c r="AU408" s="331">
        <f t="shared" si="228"/>
        <v>0</v>
      </c>
      <c r="AV408" s="331">
        <f t="shared" si="228"/>
        <v>0</v>
      </c>
      <c r="AW408" s="331">
        <f t="shared" si="228"/>
        <v>0</v>
      </c>
      <c r="AX408" s="331">
        <f t="shared" si="228"/>
        <v>0</v>
      </c>
      <c r="AY408" s="331">
        <f t="shared" si="228"/>
        <v>0</v>
      </c>
      <c r="AZ408" s="331">
        <f t="shared" si="228"/>
        <v>0</v>
      </c>
      <c r="BA408" s="331">
        <f t="shared" si="228"/>
        <v>0</v>
      </c>
      <c r="BB408" s="331">
        <f t="shared" si="228"/>
        <v>0</v>
      </c>
      <c r="BC408" s="331">
        <f t="shared" si="228"/>
        <v>0</v>
      </c>
      <c r="BD408" s="331">
        <f t="shared" si="228"/>
        <v>0</v>
      </c>
      <c r="BE408" s="331">
        <f t="shared" si="228"/>
        <v>0</v>
      </c>
      <c r="BF408" s="331">
        <f t="shared" si="228"/>
        <v>0</v>
      </c>
      <c r="BG408" s="331">
        <f t="shared" si="228"/>
        <v>0</v>
      </c>
      <c r="BH408" s="331">
        <f t="shared" si="228"/>
        <v>0</v>
      </c>
      <c r="BI408" s="331">
        <f t="shared" si="228"/>
        <v>0</v>
      </c>
      <c r="BJ408" s="331">
        <f t="shared" si="228"/>
        <v>0</v>
      </c>
      <c r="BK408" s="331">
        <f t="shared" si="228"/>
        <v>0</v>
      </c>
      <c r="BL408" s="331">
        <f t="shared" si="228"/>
        <v>0</v>
      </c>
      <c r="BM408" s="331">
        <f t="shared" si="228"/>
        <v>0</v>
      </c>
    </row>
    <row r="409" spans="3:65" ht="15.75">
      <c r="C409" s="5"/>
      <c r="E409" s="416">
        <f t="shared" si="224"/>
        <v>43590</v>
      </c>
      <c r="F409" s="331"/>
      <c r="G409" s="331"/>
      <c r="H409" s="331"/>
      <c r="I409" s="331"/>
      <c r="J409" s="331">
        <f aca="true" t="shared" si="229" ref="J409:AO409">+($F473/$F$9)</f>
        <v>0</v>
      </c>
      <c r="K409" s="331">
        <f t="shared" si="229"/>
        <v>0</v>
      </c>
      <c r="L409" s="331">
        <f t="shared" si="229"/>
        <v>0</v>
      </c>
      <c r="M409" s="331">
        <f t="shared" si="229"/>
        <v>0</v>
      </c>
      <c r="N409" s="331">
        <f t="shared" si="229"/>
        <v>0</v>
      </c>
      <c r="O409" s="331">
        <f t="shared" si="229"/>
        <v>0</v>
      </c>
      <c r="P409" s="331">
        <f t="shared" si="229"/>
        <v>0</v>
      </c>
      <c r="Q409" s="331">
        <f t="shared" si="229"/>
        <v>0</v>
      </c>
      <c r="R409" s="331">
        <f t="shared" si="229"/>
        <v>0</v>
      </c>
      <c r="S409" s="331">
        <f t="shared" si="229"/>
        <v>0</v>
      </c>
      <c r="T409" s="331">
        <f t="shared" si="229"/>
        <v>0</v>
      </c>
      <c r="U409" s="331">
        <f t="shared" si="229"/>
        <v>0</v>
      </c>
      <c r="V409" s="331">
        <f t="shared" si="229"/>
        <v>0</v>
      </c>
      <c r="W409" s="331">
        <f t="shared" si="229"/>
        <v>0</v>
      </c>
      <c r="X409" s="331">
        <f t="shared" si="229"/>
        <v>0</v>
      </c>
      <c r="Y409" s="331">
        <f t="shared" si="229"/>
        <v>0</v>
      </c>
      <c r="Z409" s="331">
        <f t="shared" si="229"/>
        <v>0</v>
      </c>
      <c r="AA409" s="331">
        <f t="shared" si="229"/>
        <v>0</v>
      </c>
      <c r="AB409" s="331">
        <f t="shared" si="229"/>
        <v>0</v>
      </c>
      <c r="AC409" s="331">
        <f t="shared" si="229"/>
        <v>0</v>
      </c>
      <c r="AD409" s="331">
        <f t="shared" si="229"/>
        <v>0</v>
      </c>
      <c r="AE409" s="331">
        <f t="shared" si="229"/>
        <v>0</v>
      </c>
      <c r="AF409" s="331">
        <f t="shared" si="229"/>
        <v>0</v>
      </c>
      <c r="AG409" s="331">
        <f t="shared" si="229"/>
        <v>0</v>
      </c>
      <c r="AH409" s="331">
        <f t="shared" si="229"/>
        <v>0</v>
      </c>
      <c r="AI409" s="331">
        <f t="shared" si="229"/>
        <v>0</v>
      </c>
      <c r="AJ409" s="331">
        <f t="shared" si="229"/>
        <v>0</v>
      </c>
      <c r="AK409" s="331">
        <f t="shared" si="229"/>
        <v>0</v>
      </c>
      <c r="AL409" s="331">
        <f t="shared" si="229"/>
        <v>0</v>
      </c>
      <c r="AM409" s="331">
        <f t="shared" si="229"/>
        <v>0</v>
      </c>
      <c r="AN409" s="331">
        <f t="shared" si="229"/>
        <v>0</v>
      </c>
      <c r="AO409" s="331">
        <f t="shared" si="229"/>
        <v>0</v>
      </c>
      <c r="AP409" s="331">
        <f aca="true" t="shared" si="230" ref="AP409:BM409">+($F473/$F$9)</f>
        <v>0</v>
      </c>
      <c r="AQ409" s="331">
        <f t="shared" si="230"/>
        <v>0</v>
      </c>
      <c r="AR409" s="331">
        <f t="shared" si="230"/>
        <v>0</v>
      </c>
      <c r="AS409" s="331">
        <f t="shared" si="230"/>
        <v>0</v>
      </c>
      <c r="AT409" s="331">
        <f t="shared" si="230"/>
        <v>0</v>
      </c>
      <c r="AU409" s="331">
        <f t="shared" si="230"/>
        <v>0</v>
      </c>
      <c r="AV409" s="331">
        <f t="shared" si="230"/>
        <v>0</v>
      </c>
      <c r="AW409" s="331">
        <f t="shared" si="230"/>
        <v>0</v>
      </c>
      <c r="AX409" s="331">
        <f t="shared" si="230"/>
        <v>0</v>
      </c>
      <c r="AY409" s="331">
        <f t="shared" si="230"/>
        <v>0</v>
      </c>
      <c r="AZ409" s="331">
        <f t="shared" si="230"/>
        <v>0</v>
      </c>
      <c r="BA409" s="331">
        <f t="shared" si="230"/>
        <v>0</v>
      </c>
      <c r="BB409" s="331">
        <f t="shared" si="230"/>
        <v>0</v>
      </c>
      <c r="BC409" s="331">
        <f t="shared" si="230"/>
        <v>0</v>
      </c>
      <c r="BD409" s="331">
        <f t="shared" si="230"/>
        <v>0</v>
      </c>
      <c r="BE409" s="331">
        <f t="shared" si="230"/>
        <v>0</v>
      </c>
      <c r="BF409" s="331">
        <f t="shared" si="230"/>
        <v>0</v>
      </c>
      <c r="BG409" s="331">
        <f t="shared" si="230"/>
        <v>0</v>
      </c>
      <c r="BH409" s="331">
        <f t="shared" si="230"/>
        <v>0</v>
      </c>
      <c r="BI409" s="331">
        <f t="shared" si="230"/>
        <v>0</v>
      </c>
      <c r="BJ409" s="331">
        <f t="shared" si="230"/>
        <v>0</v>
      </c>
      <c r="BK409" s="331">
        <f t="shared" si="230"/>
        <v>0</v>
      </c>
      <c r="BL409" s="331">
        <f t="shared" si="230"/>
        <v>0</v>
      </c>
      <c r="BM409" s="331">
        <f t="shared" si="230"/>
        <v>0</v>
      </c>
    </row>
    <row r="410" spans="5:65" ht="15.75">
      <c r="E410" s="416">
        <f t="shared" si="224"/>
        <v>43621</v>
      </c>
      <c r="F410" s="331"/>
      <c r="G410" s="331"/>
      <c r="H410" s="331"/>
      <c r="I410" s="331"/>
      <c r="J410" s="331"/>
      <c r="K410" s="331">
        <f aca="true" t="shared" si="231" ref="K410:AO410">+($F474/$F$9)</f>
        <v>0</v>
      </c>
      <c r="L410" s="331">
        <f t="shared" si="231"/>
        <v>0</v>
      </c>
      <c r="M410" s="331">
        <f t="shared" si="231"/>
        <v>0</v>
      </c>
      <c r="N410" s="331">
        <f t="shared" si="231"/>
        <v>0</v>
      </c>
      <c r="O410" s="331">
        <f t="shared" si="231"/>
        <v>0</v>
      </c>
      <c r="P410" s="331">
        <f t="shared" si="231"/>
        <v>0</v>
      </c>
      <c r="Q410" s="331">
        <f t="shared" si="231"/>
        <v>0</v>
      </c>
      <c r="R410" s="331">
        <f t="shared" si="231"/>
        <v>0</v>
      </c>
      <c r="S410" s="331">
        <f t="shared" si="231"/>
        <v>0</v>
      </c>
      <c r="T410" s="331">
        <f t="shared" si="231"/>
        <v>0</v>
      </c>
      <c r="U410" s="331">
        <f t="shared" si="231"/>
        <v>0</v>
      </c>
      <c r="V410" s="331">
        <f t="shared" si="231"/>
        <v>0</v>
      </c>
      <c r="W410" s="331">
        <f t="shared" si="231"/>
        <v>0</v>
      </c>
      <c r="X410" s="331">
        <f t="shared" si="231"/>
        <v>0</v>
      </c>
      <c r="Y410" s="331">
        <f t="shared" si="231"/>
        <v>0</v>
      </c>
      <c r="Z410" s="331">
        <f t="shared" si="231"/>
        <v>0</v>
      </c>
      <c r="AA410" s="331">
        <f t="shared" si="231"/>
        <v>0</v>
      </c>
      <c r="AB410" s="331">
        <f t="shared" si="231"/>
        <v>0</v>
      </c>
      <c r="AC410" s="331">
        <f t="shared" si="231"/>
        <v>0</v>
      </c>
      <c r="AD410" s="331">
        <f t="shared" si="231"/>
        <v>0</v>
      </c>
      <c r="AE410" s="331">
        <f t="shared" si="231"/>
        <v>0</v>
      </c>
      <c r="AF410" s="331">
        <f t="shared" si="231"/>
        <v>0</v>
      </c>
      <c r="AG410" s="331">
        <f t="shared" si="231"/>
        <v>0</v>
      </c>
      <c r="AH410" s="331">
        <f t="shared" si="231"/>
        <v>0</v>
      </c>
      <c r="AI410" s="331">
        <f t="shared" si="231"/>
        <v>0</v>
      </c>
      <c r="AJ410" s="331">
        <f t="shared" si="231"/>
        <v>0</v>
      </c>
      <c r="AK410" s="331">
        <f t="shared" si="231"/>
        <v>0</v>
      </c>
      <c r="AL410" s="331">
        <f t="shared" si="231"/>
        <v>0</v>
      </c>
      <c r="AM410" s="331">
        <f t="shared" si="231"/>
        <v>0</v>
      </c>
      <c r="AN410" s="331">
        <f t="shared" si="231"/>
        <v>0</v>
      </c>
      <c r="AO410" s="331">
        <f t="shared" si="231"/>
        <v>0</v>
      </c>
      <c r="AP410" s="331">
        <f aca="true" t="shared" si="232" ref="AP410:BA410">+($F474/$F$9)</f>
        <v>0</v>
      </c>
      <c r="AQ410" s="331">
        <f t="shared" si="232"/>
        <v>0</v>
      </c>
      <c r="AR410" s="331">
        <f t="shared" si="232"/>
        <v>0</v>
      </c>
      <c r="AS410" s="331">
        <f t="shared" si="232"/>
        <v>0</v>
      </c>
      <c r="AT410" s="331">
        <f t="shared" si="232"/>
        <v>0</v>
      </c>
      <c r="AU410" s="331">
        <f t="shared" si="232"/>
        <v>0</v>
      </c>
      <c r="AV410" s="331">
        <f t="shared" si="232"/>
        <v>0</v>
      </c>
      <c r="AW410" s="331">
        <f t="shared" si="232"/>
        <v>0</v>
      </c>
      <c r="AX410" s="331">
        <f t="shared" si="232"/>
        <v>0</v>
      </c>
      <c r="AY410" s="331">
        <f t="shared" si="232"/>
        <v>0</v>
      </c>
      <c r="AZ410" s="331">
        <f t="shared" si="232"/>
        <v>0</v>
      </c>
      <c r="BA410" s="331">
        <f t="shared" si="232"/>
        <v>0</v>
      </c>
      <c r="BB410" s="331">
        <f aca="true" t="shared" si="233" ref="BB410:BM410">+($F474/$F$9)</f>
        <v>0</v>
      </c>
      <c r="BC410" s="331">
        <f t="shared" si="233"/>
        <v>0</v>
      </c>
      <c r="BD410" s="331">
        <f t="shared" si="233"/>
        <v>0</v>
      </c>
      <c r="BE410" s="331">
        <f t="shared" si="233"/>
        <v>0</v>
      </c>
      <c r="BF410" s="331">
        <f t="shared" si="233"/>
        <v>0</v>
      </c>
      <c r="BG410" s="331">
        <f t="shared" si="233"/>
        <v>0</v>
      </c>
      <c r="BH410" s="331">
        <f t="shared" si="233"/>
        <v>0</v>
      </c>
      <c r="BI410" s="331">
        <f t="shared" si="233"/>
        <v>0</v>
      </c>
      <c r="BJ410" s="331">
        <f t="shared" si="233"/>
        <v>0</v>
      </c>
      <c r="BK410" s="331">
        <f t="shared" si="233"/>
        <v>0</v>
      </c>
      <c r="BL410" s="331">
        <f t="shared" si="233"/>
        <v>0</v>
      </c>
      <c r="BM410" s="331">
        <f t="shared" si="233"/>
        <v>0</v>
      </c>
    </row>
    <row r="411" spans="5:65" ht="15.75">
      <c r="E411" s="416">
        <f t="shared" si="224"/>
        <v>43652</v>
      </c>
      <c r="F411" s="331"/>
      <c r="G411" s="331"/>
      <c r="H411" s="331"/>
      <c r="I411" s="331"/>
      <c r="J411" s="331"/>
      <c r="K411" s="331"/>
      <c r="L411" s="331">
        <f aca="true" t="shared" si="234" ref="L411:AO411">+($F475/$F$9)</f>
        <v>0</v>
      </c>
      <c r="M411" s="331">
        <f t="shared" si="234"/>
        <v>0</v>
      </c>
      <c r="N411" s="331">
        <f t="shared" si="234"/>
        <v>0</v>
      </c>
      <c r="O411" s="331">
        <f t="shared" si="234"/>
        <v>0</v>
      </c>
      <c r="P411" s="331">
        <f t="shared" si="234"/>
        <v>0</v>
      </c>
      <c r="Q411" s="331">
        <f t="shared" si="234"/>
        <v>0</v>
      </c>
      <c r="R411" s="331">
        <f t="shared" si="234"/>
        <v>0</v>
      </c>
      <c r="S411" s="331">
        <f t="shared" si="234"/>
        <v>0</v>
      </c>
      <c r="T411" s="331">
        <f t="shared" si="234"/>
        <v>0</v>
      </c>
      <c r="U411" s="331">
        <f t="shared" si="234"/>
        <v>0</v>
      </c>
      <c r="V411" s="331">
        <f t="shared" si="234"/>
        <v>0</v>
      </c>
      <c r="W411" s="331">
        <f t="shared" si="234"/>
        <v>0</v>
      </c>
      <c r="X411" s="331">
        <f t="shared" si="234"/>
        <v>0</v>
      </c>
      <c r="Y411" s="331">
        <f t="shared" si="234"/>
        <v>0</v>
      </c>
      <c r="Z411" s="331">
        <f t="shared" si="234"/>
        <v>0</v>
      </c>
      <c r="AA411" s="331">
        <f t="shared" si="234"/>
        <v>0</v>
      </c>
      <c r="AB411" s="331">
        <f t="shared" si="234"/>
        <v>0</v>
      </c>
      <c r="AC411" s="331">
        <f t="shared" si="234"/>
        <v>0</v>
      </c>
      <c r="AD411" s="331">
        <f t="shared" si="234"/>
        <v>0</v>
      </c>
      <c r="AE411" s="331">
        <f t="shared" si="234"/>
        <v>0</v>
      </c>
      <c r="AF411" s="331">
        <f t="shared" si="234"/>
        <v>0</v>
      </c>
      <c r="AG411" s="331">
        <f t="shared" si="234"/>
        <v>0</v>
      </c>
      <c r="AH411" s="331">
        <f t="shared" si="234"/>
        <v>0</v>
      </c>
      <c r="AI411" s="331">
        <f t="shared" si="234"/>
        <v>0</v>
      </c>
      <c r="AJ411" s="331">
        <f t="shared" si="234"/>
        <v>0</v>
      </c>
      <c r="AK411" s="331">
        <f t="shared" si="234"/>
        <v>0</v>
      </c>
      <c r="AL411" s="331">
        <f t="shared" si="234"/>
        <v>0</v>
      </c>
      <c r="AM411" s="331">
        <f t="shared" si="234"/>
        <v>0</v>
      </c>
      <c r="AN411" s="331">
        <f t="shared" si="234"/>
        <v>0</v>
      </c>
      <c r="AO411" s="331">
        <f t="shared" si="234"/>
        <v>0</v>
      </c>
      <c r="AP411" s="331">
        <f aca="true" t="shared" si="235" ref="AP411:BA411">+($F475/$F$9)</f>
        <v>0</v>
      </c>
      <c r="AQ411" s="331">
        <f t="shared" si="235"/>
        <v>0</v>
      </c>
      <c r="AR411" s="331">
        <f t="shared" si="235"/>
        <v>0</v>
      </c>
      <c r="AS411" s="331">
        <f t="shared" si="235"/>
        <v>0</v>
      </c>
      <c r="AT411" s="331">
        <f t="shared" si="235"/>
        <v>0</v>
      </c>
      <c r="AU411" s="331">
        <f t="shared" si="235"/>
        <v>0</v>
      </c>
      <c r="AV411" s="331">
        <f t="shared" si="235"/>
        <v>0</v>
      </c>
      <c r="AW411" s="331">
        <f t="shared" si="235"/>
        <v>0</v>
      </c>
      <c r="AX411" s="331">
        <f t="shared" si="235"/>
        <v>0</v>
      </c>
      <c r="AY411" s="331">
        <f t="shared" si="235"/>
        <v>0</v>
      </c>
      <c r="AZ411" s="331">
        <f t="shared" si="235"/>
        <v>0</v>
      </c>
      <c r="BA411" s="331">
        <f t="shared" si="235"/>
        <v>0</v>
      </c>
      <c r="BB411" s="331">
        <f aca="true" t="shared" si="236" ref="BB411:BM411">+($F475/$F$9)</f>
        <v>0</v>
      </c>
      <c r="BC411" s="331">
        <f t="shared" si="236"/>
        <v>0</v>
      </c>
      <c r="BD411" s="331">
        <f t="shared" si="236"/>
        <v>0</v>
      </c>
      <c r="BE411" s="331">
        <f t="shared" si="236"/>
        <v>0</v>
      </c>
      <c r="BF411" s="331">
        <f t="shared" si="236"/>
        <v>0</v>
      </c>
      <c r="BG411" s="331">
        <f t="shared" si="236"/>
        <v>0</v>
      </c>
      <c r="BH411" s="331">
        <f t="shared" si="236"/>
        <v>0</v>
      </c>
      <c r="BI411" s="331">
        <f t="shared" si="236"/>
        <v>0</v>
      </c>
      <c r="BJ411" s="331">
        <f t="shared" si="236"/>
        <v>0</v>
      </c>
      <c r="BK411" s="331">
        <f t="shared" si="236"/>
        <v>0</v>
      </c>
      <c r="BL411" s="331">
        <f t="shared" si="236"/>
        <v>0</v>
      </c>
      <c r="BM411" s="331">
        <f t="shared" si="236"/>
        <v>0</v>
      </c>
    </row>
    <row r="412" spans="5:65" ht="15.75">
      <c r="E412" s="416">
        <f t="shared" si="224"/>
        <v>43683</v>
      </c>
      <c r="F412" s="331"/>
      <c r="G412" s="331"/>
      <c r="H412" s="331"/>
      <c r="I412" s="331"/>
      <c r="J412" s="331"/>
      <c r="K412" s="331"/>
      <c r="L412" s="331"/>
      <c r="M412" s="331">
        <f aca="true" t="shared" si="237" ref="M412:AO412">+($F476/$F$9)</f>
        <v>0</v>
      </c>
      <c r="N412" s="331">
        <f t="shared" si="237"/>
        <v>0</v>
      </c>
      <c r="O412" s="331">
        <f t="shared" si="237"/>
        <v>0</v>
      </c>
      <c r="P412" s="331">
        <f t="shared" si="237"/>
        <v>0</v>
      </c>
      <c r="Q412" s="331">
        <f t="shared" si="237"/>
        <v>0</v>
      </c>
      <c r="R412" s="331">
        <f t="shared" si="237"/>
        <v>0</v>
      </c>
      <c r="S412" s="331">
        <f t="shared" si="237"/>
        <v>0</v>
      </c>
      <c r="T412" s="331">
        <f t="shared" si="237"/>
        <v>0</v>
      </c>
      <c r="U412" s="331">
        <f t="shared" si="237"/>
        <v>0</v>
      </c>
      <c r="V412" s="331">
        <f t="shared" si="237"/>
        <v>0</v>
      </c>
      <c r="W412" s="331">
        <f t="shared" si="237"/>
        <v>0</v>
      </c>
      <c r="X412" s="331">
        <f t="shared" si="237"/>
        <v>0</v>
      </c>
      <c r="Y412" s="331">
        <f t="shared" si="237"/>
        <v>0</v>
      </c>
      <c r="Z412" s="331">
        <f t="shared" si="237"/>
        <v>0</v>
      </c>
      <c r="AA412" s="331">
        <f t="shared" si="237"/>
        <v>0</v>
      </c>
      <c r="AB412" s="331">
        <f t="shared" si="237"/>
        <v>0</v>
      </c>
      <c r="AC412" s="331">
        <f t="shared" si="237"/>
        <v>0</v>
      </c>
      <c r="AD412" s="331">
        <f t="shared" si="237"/>
        <v>0</v>
      </c>
      <c r="AE412" s="331">
        <f t="shared" si="237"/>
        <v>0</v>
      </c>
      <c r="AF412" s="331">
        <f t="shared" si="237"/>
        <v>0</v>
      </c>
      <c r="AG412" s="331">
        <f t="shared" si="237"/>
        <v>0</v>
      </c>
      <c r="AH412" s="331">
        <f t="shared" si="237"/>
        <v>0</v>
      </c>
      <c r="AI412" s="331">
        <f t="shared" si="237"/>
        <v>0</v>
      </c>
      <c r="AJ412" s="331">
        <f t="shared" si="237"/>
        <v>0</v>
      </c>
      <c r="AK412" s="331">
        <f t="shared" si="237"/>
        <v>0</v>
      </c>
      <c r="AL412" s="331">
        <f t="shared" si="237"/>
        <v>0</v>
      </c>
      <c r="AM412" s="331">
        <f t="shared" si="237"/>
        <v>0</v>
      </c>
      <c r="AN412" s="331">
        <f t="shared" si="237"/>
        <v>0</v>
      </c>
      <c r="AO412" s="331">
        <f t="shared" si="237"/>
        <v>0</v>
      </c>
      <c r="AP412" s="331">
        <f aca="true" t="shared" si="238" ref="AP412:BA412">+($F476/$F$9)</f>
        <v>0</v>
      </c>
      <c r="AQ412" s="331">
        <f t="shared" si="238"/>
        <v>0</v>
      </c>
      <c r="AR412" s="331">
        <f t="shared" si="238"/>
        <v>0</v>
      </c>
      <c r="AS412" s="331">
        <f t="shared" si="238"/>
        <v>0</v>
      </c>
      <c r="AT412" s="331">
        <f t="shared" si="238"/>
        <v>0</v>
      </c>
      <c r="AU412" s="331">
        <f t="shared" si="238"/>
        <v>0</v>
      </c>
      <c r="AV412" s="331">
        <f t="shared" si="238"/>
        <v>0</v>
      </c>
      <c r="AW412" s="331">
        <f t="shared" si="238"/>
        <v>0</v>
      </c>
      <c r="AX412" s="331">
        <f t="shared" si="238"/>
        <v>0</v>
      </c>
      <c r="AY412" s="331">
        <f t="shared" si="238"/>
        <v>0</v>
      </c>
      <c r="AZ412" s="331">
        <f t="shared" si="238"/>
        <v>0</v>
      </c>
      <c r="BA412" s="331">
        <f t="shared" si="238"/>
        <v>0</v>
      </c>
      <c r="BB412" s="331">
        <f aca="true" t="shared" si="239" ref="BB412:BM412">+($F476/$F$9)</f>
        <v>0</v>
      </c>
      <c r="BC412" s="331">
        <f t="shared" si="239"/>
        <v>0</v>
      </c>
      <c r="BD412" s="331">
        <f t="shared" si="239"/>
        <v>0</v>
      </c>
      <c r="BE412" s="331">
        <f t="shared" si="239"/>
        <v>0</v>
      </c>
      <c r="BF412" s="331">
        <f t="shared" si="239"/>
        <v>0</v>
      </c>
      <c r="BG412" s="331">
        <f t="shared" si="239"/>
        <v>0</v>
      </c>
      <c r="BH412" s="331">
        <f t="shared" si="239"/>
        <v>0</v>
      </c>
      <c r="BI412" s="331">
        <f t="shared" si="239"/>
        <v>0</v>
      </c>
      <c r="BJ412" s="331">
        <f t="shared" si="239"/>
        <v>0</v>
      </c>
      <c r="BK412" s="331">
        <f t="shared" si="239"/>
        <v>0</v>
      </c>
      <c r="BL412" s="331">
        <f t="shared" si="239"/>
        <v>0</v>
      </c>
      <c r="BM412" s="331">
        <f t="shared" si="239"/>
        <v>0</v>
      </c>
    </row>
    <row r="413" spans="5:65" ht="15.75">
      <c r="E413" s="416">
        <f t="shared" si="224"/>
        <v>43714</v>
      </c>
      <c r="F413" s="331"/>
      <c r="G413" s="331"/>
      <c r="H413" s="331"/>
      <c r="I413" s="331"/>
      <c r="J413" s="331"/>
      <c r="K413" s="331"/>
      <c r="L413" s="331"/>
      <c r="M413" s="331"/>
      <c r="N413" s="331">
        <f aca="true" t="shared" si="240" ref="N413:AO413">+($F477/$F$9)</f>
        <v>0</v>
      </c>
      <c r="O413" s="331">
        <f t="shared" si="240"/>
        <v>0</v>
      </c>
      <c r="P413" s="331">
        <f t="shared" si="240"/>
        <v>0</v>
      </c>
      <c r="Q413" s="331">
        <f t="shared" si="240"/>
        <v>0</v>
      </c>
      <c r="R413" s="331">
        <f t="shared" si="240"/>
        <v>0</v>
      </c>
      <c r="S413" s="331">
        <f t="shared" si="240"/>
        <v>0</v>
      </c>
      <c r="T413" s="331">
        <f t="shared" si="240"/>
        <v>0</v>
      </c>
      <c r="U413" s="331">
        <f t="shared" si="240"/>
        <v>0</v>
      </c>
      <c r="V413" s="331">
        <f t="shared" si="240"/>
        <v>0</v>
      </c>
      <c r="W413" s="331">
        <f t="shared" si="240"/>
        <v>0</v>
      </c>
      <c r="X413" s="331">
        <f t="shared" si="240"/>
        <v>0</v>
      </c>
      <c r="Y413" s="331">
        <f t="shared" si="240"/>
        <v>0</v>
      </c>
      <c r="Z413" s="331">
        <f t="shared" si="240"/>
        <v>0</v>
      </c>
      <c r="AA413" s="331">
        <f t="shared" si="240"/>
        <v>0</v>
      </c>
      <c r="AB413" s="331">
        <f t="shared" si="240"/>
        <v>0</v>
      </c>
      <c r="AC413" s="331">
        <f t="shared" si="240"/>
        <v>0</v>
      </c>
      <c r="AD413" s="331">
        <f t="shared" si="240"/>
        <v>0</v>
      </c>
      <c r="AE413" s="331">
        <f t="shared" si="240"/>
        <v>0</v>
      </c>
      <c r="AF413" s="331">
        <f t="shared" si="240"/>
        <v>0</v>
      </c>
      <c r="AG413" s="331">
        <f t="shared" si="240"/>
        <v>0</v>
      </c>
      <c r="AH413" s="331">
        <f t="shared" si="240"/>
        <v>0</v>
      </c>
      <c r="AI413" s="331">
        <f t="shared" si="240"/>
        <v>0</v>
      </c>
      <c r="AJ413" s="331">
        <f t="shared" si="240"/>
        <v>0</v>
      </c>
      <c r="AK413" s="331">
        <f t="shared" si="240"/>
        <v>0</v>
      </c>
      <c r="AL413" s="331">
        <f t="shared" si="240"/>
        <v>0</v>
      </c>
      <c r="AM413" s="331">
        <f t="shared" si="240"/>
        <v>0</v>
      </c>
      <c r="AN413" s="331">
        <f t="shared" si="240"/>
        <v>0</v>
      </c>
      <c r="AO413" s="331">
        <f t="shared" si="240"/>
        <v>0</v>
      </c>
      <c r="AP413" s="331">
        <f aca="true" t="shared" si="241" ref="AP413:BA413">+($F477/$F$9)</f>
        <v>0</v>
      </c>
      <c r="AQ413" s="331">
        <f t="shared" si="241"/>
        <v>0</v>
      </c>
      <c r="AR413" s="331">
        <f t="shared" si="241"/>
        <v>0</v>
      </c>
      <c r="AS413" s="331">
        <f t="shared" si="241"/>
        <v>0</v>
      </c>
      <c r="AT413" s="331">
        <f t="shared" si="241"/>
        <v>0</v>
      </c>
      <c r="AU413" s="331">
        <f t="shared" si="241"/>
        <v>0</v>
      </c>
      <c r="AV413" s="331">
        <f t="shared" si="241"/>
        <v>0</v>
      </c>
      <c r="AW413" s="331">
        <f t="shared" si="241"/>
        <v>0</v>
      </c>
      <c r="AX413" s="331">
        <f t="shared" si="241"/>
        <v>0</v>
      </c>
      <c r="AY413" s="331">
        <f t="shared" si="241"/>
        <v>0</v>
      </c>
      <c r="AZ413" s="331">
        <f t="shared" si="241"/>
        <v>0</v>
      </c>
      <c r="BA413" s="331">
        <f t="shared" si="241"/>
        <v>0</v>
      </c>
      <c r="BB413" s="331">
        <f aca="true" t="shared" si="242" ref="BB413:BM413">+($F477/$F$9)</f>
        <v>0</v>
      </c>
      <c r="BC413" s="331">
        <f t="shared" si="242"/>
        <v>0</v>
      </c>
      <c r="BD413" s="331">
        <f t="shared" si="242"/>
        <v>0</v>
      </c>
      <c r="BE413" s="331">
        <f t="shared" si="242"/>
        <v>0</v>
      </c>
      <c r="BF413" s="331">
        <f t="shared" si="242"/>
        <v>0</v>
      </c>
      <c r="BG413" s="331">
        <f t="shared" si="242"/>
        <v>0</v>
      </c>
      <c r="BH413" s="331">
        <f t="shared" si="242"/>
        <v>0</v>
      </c>
      <c r="BI413" s="331">
        <f t="shared" si="242"/>
        <v>0</v>
      </c>
      <c r="BJ413" s="331">
        <f t="shared" si="242"/>
        <v>0</v>
      </c>
      <c r="BK413" s="331">
        <f t="shared" si="242"/>
        <v>0</v>
      </c>
      <c r="BL413" s="331">
        <f t="shared" si="242"/>
        <v>0</v>
      </c>
      <c r="BM413" s="331">
        <f t="shared" si="242"/>
        <v>0</v>
      </c>
    </row>
    <row r="414" spans="5:65" ht="15.75">
      <c r="E414" s="416">
        <f t="shared" si="224"/>
        <v>43745</v>
      </c>
      <c r="F414" s="331"/>
      <c r="G414" s="331"/>
      <c r="H414" s="331"/>
      <c r="I414" s="331"/>
      <c r="J414" s="331"/>
      <c r="K414" s="331"/>
      <c r="L414" s="331"/>
      <c r="M414" s="331"/>
      <c r="N414" s="331"/>
      <c r="O414" s="331">
        <f aca="true" t="shared" si="243" ref="O414:AO414">+($F478/$F$9)</f>
        <v>0</v>
      </c>
      <c r="P414" s="331">
        <f t="shared" si="243"/>
        <v>0</v>
      </c>
      <c r="Q414" s="331">
        <f t="shared" si="243"/>
        <v>0</v>
      </c>
      <c r="R414" s="331">
        <f t="shared" si="243"/>
        <v>0</v>
      </c>
      <c r="S414" s="331">
        <f t="shared" si="243"/>
        <v>0</v>
      </c>
      <c r="T414" s="331">
        <f t="shared" si="243"/>
        <v>0</v>
      </c>
      <c r="U414" s="331">
        <f t="shared" si="243"/>
        <v>0</v>
      </c>
      <c r="V414" s="331">
        <f t="shared" si="243"/>
        <v>0</v>
      </c>
      <c r="W414" s="331">
        <f t="shared" si="243"/>
        <v>0</v>
      </c>
      <c r="X414" s="331">
        <f t="shared" si="243"/>
        <v>0</v>
      </c>
      <c r="Y414" s="331">
        <f t="shared" si="243"/>
        <v>0</v>
      </c>
      <c r="Z414" s="331">
        <f t="shared" si="243"/>
        <v>0</v>
      </c>
      <c r="AA414" s="331">
        <f t="shared" si="243"/>
        <v>0</v>
      </c>
      <c r="AB414" s="331">
        <f t="shared" si="243"/>
        <v>0</v>
      </c>
      <c r="AC414" s="331">
        <f t="shared" si="243"/>
        <v>0</v>
      </c>
      <c r="AD414" s="331">
        <f t="shared" si="243"/>
        <v>0</v>
      </c>
      <c r="AE414" s="331">
        <f t="shared" si="243"/>
        <v>0</v>
      </c>
      <c r="AF414" s="331">
        <f t="shared" si="243"/>
        <v>0</v>
      </c>
      <c r="AG414" s="331">
        <f t="shared" si="243"/>
        <v>0</v>
      </c>
      <c r="AH414" s="331">
        <f t="shared" si="243"/>
        <v>0</v>
      </c>
      <c r="AI414" s="331">
        <f t="shared" si="243"/>
        <v>0</v>
      </c>
      <c r="AJ414" s="331">
        <f t="shared" si="243"/>
        <v>0</v>
      </c>
      <c r="AK414" s="331">
        <f t="shared" si="243"/>
        <v>0</v>
      </c>
      <c r="AL414" s="331">
        <f t="shared" si="243"/>
        <v>0</v>
      </c>
      <c r="AM414" s="331">
        <f t="shared" si="243"/>
        <v>0</v>
      </c>
      <c r="AN414" s="331">
        <f t="shared" si="243"/>
        <v>0</v>
      </c>
      <c r="AO414" s="331">
        <f t="shared" si="243"/>
        <v>0</v>
      </c>
      <c r="AP414" s="331">
        <f aca="true" t="shared" si="244" ref="AP414:BA414">+($F478/$F$9)</f>
        <v>0</v>
      </c>
      <c r="AQ414" s="331">
        <f t="shared" si="244"/>
        <v>0</v>
      </c>
      <c r="AR414" s="331">
        <f t="shared" si="244"/>
        <v>0</v>
      </c>
      <c r="AS414" s="331">
        <f t="shared" si="244"/>
        <v>0</v>
      </c>
      <c r="AT414" s="331">
        <f t="shared" si="244"/>
        <v>0</v>
      </c>
      <c r="AU414" s="331">
        <f t="shared" si="244"/>
        <v>0</v>
      </c>
      <c r="AV414" s="331">
        <f t="shared" si="244"/>
        <v>0</v>
      </c>
      <c r="AW414" s="331">
        <f t="shared" si="244"/>
        <v>0</v>
      </c>
      <c r="AX414" s="331">
        <f t="shared" si="244"/>
        <v>0</v>
      </c>
      <c r="AY414" s="331">
        <f t="shared" si="244"/>
        <v>0</v>
      </c>
      <c r="AZ414" s="331">
        <f t="shared" si="244"/>
        <v>0</v>
      </c>
      <c r="BA414" s="331">
        <f t="shared" si="244"/>
        <v>0</v>
      </c>
      <c r="BB414" s="331">
        <f aca="true" t="shared" si="245" ref="BB414:BM414">+($F478/$F$9)</f>
        <v>0</v>
      </c>
      <c r="BC414" s="331">
        <f t="shared" si="245"/>
        <v>0</v>
      </c>
      <c r="BD414" s="331">
        <f t="shared" si="245"/>
        <v>0</v>
      </c>
      <c r="BE414" s="331">
        <f t="shared" si="245"/>
        <v>0</v>
      </c>
      <c r="BF414" s="331">
        <f t="shared" si="245"/>
        <v>0</v>
      </c>
      <c r="BG414" s="331">
        <f t="shared" si="245"/>
        <v>0</v>
      </c>
      <c r="BH414" s="331">
        <f t="shared" si="245"/>
        <v>0</v>
      </c>
      <c r="BI414" s="331">
        <f t="shared" si="245"/>
        <v>0</v>
      </c>
      <c r="BJ414" s="331">
        <f t="shared" si="245"/>
        <v>0</v>
      </c>
      <c r="BK414" s="331">
        <f t="shared" si="245"/>
        <v>0</v>
      </c>
      <c r="BL414" s="331">
        <f t="shared" si="245"/>
        <v>0</v>
      </c>
      <c r="BM414" s="331">
        <f t="shared" si="245"/>
        <v>0</v>
      </c>
    </row>
    <row r="415" spans="5:65" ht="15.75">
      <c r="E415" s="416">
        <f t="shared" si="224"/>
        <v>43776</v>
      </c>
      <c r="F415" s="331"/>
      <c r="G415" s="331"/>
      <c r="H415" s="331"/>
      <c r="I415" s="331"/>
      <c r="J415" s="331"/>
      <c r="K415" s="331"/>
      <c r="L415" s="331"/>
      <c r="M415" s="331"/>
      <c r="N415" s="331"/>
      <c r="O415" s="331"/>
      <c r="P415" s="331">
        <f aca="true" t="shared" si="246" ref="P415:AO415">+($F479/$F$9)</f>
        <v>0</v>
      </c>
      <c r="Q415" s="331">
        <f t="shared" si="246"/>
        <v>0</v>
      </c>
      <c r="R415" s="331">
        <f t="shared" si="246"/>
        <v>0</v>
      </c>
      <c r="S415" s="331">
        <f t="shared" si="246"/>
        <v>0</v>
      </c>
      <c r="T415" s="331">
        <f t="shared" si="246"/>
        <v>0</v>
      </c>
      <c r="U415" s="331">
        <f t="shared" si="246"/>
        <v>0</v>
      </c>
      <c r="V415" s="331">
        <f t="shared" si="246"/>
        <v>0</v>
      </c>
      <c r="W415" s="331">
        <f t="shared" si="246"/>
        <v>0</v>
      </c>
      <c r="X415" s="331">
        <f t="shared" si="246"/>
        <v>0</v>
      </c>
      <c r="Y415" s="331">
        <f t="shared" si="246"/>
        <v>0</v>
      </c>
      <c r="Z415" s="331">
        <f t="shared" si="246"/>
        <v>0</v>
      </c>
      <c r="AA415" s="331">
        <f t="shared" si="246"/>
        <v>0</v>
      </c>
      <c r="AB415" s="331">
        <f t="shared" si="246"/>
        <v>0</v>
      </c>
      <c r="AC415" s="331">
        <f t="shared" si="246"/>
        <v>0</v>
      </c>
      <c r="AD415" s="331">
        <f t="shared" si="246"/>
        <v>0</v>
      </c>
      <c r="AE415" s="331">
        <f t="shared" si="246"/>
        <v>0</v>
      </c>
      <c r="AF415" s="331">
        <f t="shared" si="246"/>
        <v>0</v>
      </c>
      <c r="AG415" s="331">
        <f t="shared" si="246"/>
        <v>0</v>
      </c>
      <c r="AH415" s="331">
        <f t="shared" si="246"/>
        <v>0</v>
      </c>
      <c r="AI415" s="331">
        <f t="shared" si="246"/>
        <v>0</v>
      </c>
      <c r="AJ415" s="331">
        <f t="shared" si="246"/>
        <v>0</v>
      </c>
      <c r="AK415" s="331">
        <f t="shared" si="246"/>
        <v>0</v>
      </c>
      <c r="AL415" s="331">
        <f t="shared" si="246"/>
        <v>0</v>
      </c>
      <c r="AM415" s="331">
        <f t="shared" si="246"/>
        <v>0</v>
      </c>
      <c r="AN415" s="331">
        <f t="shared" si="246"/>
        <v>0</v>
      </c>
      <c r="AO415" s="331">
        <f t="shared" si="246"/>
        <v>0</v>
      </c>
      <c r="AP415" s="331">
        <f aca="true" t="shared" si="247" ref="AP415:BA415">+($F479/$F$9)</f>
        <v>0</v>
      </c>
      <c r="AQ415" s="331">
        <f t="shared" si="247"/>
        <v>0</v>
      </c>
      <c r="AR415" s="331">
        <f t="shared" si="247"/>
        <v>0</v>
      </c>
      <c r="AS415" s="331">
        <f t="shared" si="247"/>
        <v>0</v>
      </c>
      <c r="AT415" s="331">
        <f t="shared" si="247"/>
        <v>0</v>
      </c>
      <c r="AU415" s="331">
        <f t="shared" si="247"/>
        <v>0</v>
      </c>
      <c r="AV415" s="331">
        <f t="shared" si="247"/>
        <v>0</v>
      </c>
      <c r="AW415" s="331">
        <f t="shared" si="247"/>
        <v>0</v>
      </c>
      <c r="AX415" s="331">
        <f t="shared" si="247"/>
        <v>0</v>
      </c>
      <c r="AY415" s="331">
        <f t="shared" si="247"/>
        <v>0</v>
      </c>
      <c r="AZ415" s="331">
        <f t="shared" si="247"/>
        <v>0</v>
      </c>
      <c r="BA415" s="331">
        <f t="shared" si="247"/>
        <v>0</v>
      </c>
      <c r="BB415" s="331">
        <f aca="true" t="shared" si="248" ref="BB415:BM415">+($F479/$F$9)</f>
        <v>0</v>
      </c>
      <c r="BC415" s="331">
        <f t="shared" si="248"/>
        <v>0</v>
      </c>
      <c r="BD415" s="331">
        <f t="shared" si="248"/>
        <v>0</v>
      </c>
      <c r="BE415" s="331">
        <f t="shared" si="248"/>
        <v>0</v>
      </c>
      <c r="BF415" s="331">
        <f t="shared" si="248"/>
        <v>0</v>
      </c>
      <c r="BG415" s="331">
        <f t="shared" si="248"/>
        <v>0</v>
      </c>
      <c r="BH415" s="331">
        <f t="shared" si="248"/>
        <v>0</v>
      </c>
      <c r="BI415" s="331">
        <f t="shared" si="248"/>
        <v>0</v>
      </c>
      <c r="BJ415" s="331">
        <f t="shared" si="248"/>
        <v>0</v>
      </c>
      <c r="BK415" s="331">
        <f t="shared" si="248"/>
        <v>0</v>
      </c>
      <c r="BL415" s="331">
        <f t="shared" si="248"/>
        <v>0</v>
      </c>
      <c r="BM415" s="331">
        <f t="shared" si="248"/>
        <v>0</v>
      </c>
    </row>
    <row r="416" spans="5:65" ht="15.75">
      <c r="E416" s="416">
        <f t="shared" si="224"/>
        <v>43807</v>
      </c>
      <c r="F416" s="331"/>
      <c r="G416" s="331"/>
      <c r="H416" s="331"/>
      <c r="I416" s="331"/>
      <c r="J416" s="331"/>
      <c r="K416" s="331"/>
      <c r="L416" s="331"/>
      <c r="M416" s="331"/>
      <c r="N416" s="331"/>
      <c r="O416" s="331"/>
      <c r="P416" s="331"/>
      <c r="Q416" s="331">
        <f aca="true" t="shared" si="249" ref="Q416:AO416">+($F480/$F$9)</f>
        <v>0</v>
      </c>
      <c r="R416" s="331">
        <f t="shared" si="249"/>
        <v>0</v>
      </c>
      <c r="S416" s="331">
        <f t="shared" si="249"/>
        <v>0</v>
      </c>
      <c r="T416" s="331">
        <f t="shared" si="249"/>
        <v>0</v>
      </c>
      <c r="U416" s="331">
        <f t="shared" si="249"/>
        <v>0</v>
      </c>
      <c r="V416" s="331">
        <f t="shared" si="249"/>
        <v>0</v>
      </c>
      <c r="W416" s="331">
        <f t="shared" si="249"/>
        <v>0</v>
      </c>
      <c r="X416" s="331">
        <f t="shared" si="249"/>
        <v>0</v>
      </c>
      <c r="Y416" s="331">
        <f t="shared" si="249"/>
        <v>0</v>
      </c>
      <c r="Z416" s="331">
        <f t="shared" si="249"/>
        <v>0</v>
      </c>
      <c r="AA416" s="331">
        <f t="shared" si="249"/>
        <v>0</v>
      </c>
      <c r="AB416" s="331">
        <f t="shared" si="249"/>
        <v>0</v>
      </c>
      <c r="AC416" s="331">
        <f t="shared" si="249"/>
        <v>0</v>
      </c>
      <c r="AD416" s="331">
        <f t="shared" si="249"/>
        <v>0</v>
      </c>
      <c r="AE416" s="331">
        <f t="shared" si="249"/>
        <v>0</v>
      </c>
      <c r="AF416" s="331">
        <f t="shared" si="249"/>
        <v>0</v>
      </c>
      <c r="AG416" s="331">
        <f t="shared" si="249"/>
        <v>0</v>
      </c>
      <c r="AH416" s="331">
        <f t="shared" si="249"/>
        <v>0</v>
      </c>
      <c r="AI416" s="331">
        <f t="shared" si="249"/>
        <v>0</v>
      </c>
      <c r="AJ416" s="331">
        <f t="shared" si="249"/>
        <v>0</v>
      </c>
      <c r="AK416" s="331">
        <f t="shared" si="249"/>
        <v>0</v>
      </c>
      <c r="AL416" s="331">
        <f t="shared" si="249"/>
        <v>0</v>
      </c>
      <c r="AM416" s="331">
        <f t="shared" si="249"/>
        <v>0</v>
      </c>
      <c r="AN416" s="331">
        <f t="shared" si="249"/>
        <v>0</v>
      </c>
      <c r="AO416" s="331">
        <f t="shared" si="249"/>
        <v>0</v>
      </c>
      <c r="AP416" s="331">
        <f aca="true" t="shared" si="250" ref="AP416:BA416">+($F480/$F$9)</f>
        <v>0</v>
      </c>
      <c r="AQ416" s="331">
        <f t="shared" si="250"/>
        <v>0</v>
      </c>
      <c r="AR416" s="331">
        <f t="shared" si="250"/>
        <v>0</v>
      </c>
      <c r="AS416" s="331">
        <f t="shared" si="250"/>
        <v>0</v>
      </c>
      <c r="AT416" s="331">
        <f t="shared" si="250"/>
        <v>0</v>
      </c>
      <c r="AU416" s="331">
        <f t="shared" si="250"/>
        <v>0</v>
      </c>
      <c r="AV416" s="331">
        <f t="shared" si="250"/>
        <v>0</v>
      </c>
      <c r="AW416" s="331">
        <f t="shared" si="250"/>
        <v>0</v>
      </c>
      <c r="AX416" s="331">
        <f t="shared" si="250"/>
        <v>0</v>
      </c>
      <c r="AY416" s="331">
        <f t="shared" si="250"/>
        <v>0</v>
      </c>
      <c r="AZ416" s="331">
        <f t="shared" si="250"/>
        <v>0</v>
      </c>
      <c r="BA416" s="331">
        <f t="shared" si="250"/>
        <v>0</v>
      </c>
      <c r="BB416" s="331">
        <f aca="true" t="shared" si="251" ref="BB416:BM416">+($F480/$F$9)</f>
        <v>0</v>
      </c>
      <c r="BC416" s="331">
        <f t="shared" si="251"/>
        <v>0</v>
      </c>
      <c r="BD416" s="331">
        <f t="shared" si="251"/>
        <v>0</v>
      </c>
      <c r="BE416" s="331">
        <f t="shared" si="251"/>
        <v>0</v>
      </c>
      <c r="BF416" s="331">
        <f t="shared" si="251"/>
        <v>0</v>
      </c>
      <c r="BG416" s="331">
        <f t="shared" si="251"/>
        <v>0</v>
      </c>
      <c r="BH416" s="331">
        <f t="shared" si="251"/>
        <v>0</v>
      </c>
      <c r="BI416" s="331">
        <f t="shared" si="251"/>
        <v>0</v>
      </c>
      <c r="BJ416" s="331">
        <f t="shared" si="251"/>
        <v>0</v>
      </c>
      <c r="BK416" s="331">
        <f t="shared" si="251"/>
        <v>0</v>
      </c>
      <c r="BL416" s="331">
        <f t="shared" si="251"/>
        <v>0</v>
      </c>
      <c r="BM416" s="331">
        <f t="shared" si="251"/>
        <v>0</v>
      </c>
    </row>
    <row r="417" spans="5:65" ht="15.75">
      <c r="E417" s="416">
        <f t="shared" si="224"/>
        <v>43838</v>
      </c>
      <c r="F417" s="331"/>
      <c r="G417" s="331"/>
      <c r="H417" s="331"/>
      <c r="I417" s="331"/>
      <c r="J417" s="331"/>
      <c r="K417" s="331"/>
      <c r="L417" s="331"/>
      <c r="M417" s="331"/>
      <c r="N417" s="331"/>
      <c r="O417" s="331"/>
      <c r="P417" s="331"/>
      <c r="Q417" s="331"/>
      <c r="R417" s="331">
        <f aca="true" t="shared" si="252" ref="R417:AO417">+($F481/$F$9)</f>
        <v>0</v>
      </c>
      <c r="S417" s="331">
        <f t="shared" si="252"/>
        <v>0</v>
      </c>
      <c r="T417" s="331">
        <f t="shared" si="252"/>
        <v>0</v>
      </c>
      <c r="U417" s="331">
        <f t="shared" si="252"/>
        <v>0</v>
      </c>
      <c r="V417" s="331">
        <f t="shared" si="252"/>
        <v>0</v>
      </c>
      <c r="W417" s="331">
        <f t="shared" si="252"/>
        <v>0</v>
      </c>
      <c r="X417" s="331">
        <f t="shared" si="252"/>
        <v>0</v>
      </c>
      <c r="Y417" s="331">
        <f t="shared" si="252"/>
        <v>0</v>
      </c>
      <c r="Z417" s="331">
        <f t="shared" si="252"/>
        <v>0</v>
      </c>
      <c r="AA417" s="331">
        <f t="shared" si="252"/>
        <v>0</v>
      </c>
      <c r="AB417" s="331">
        <f t="shared" si="252"/>
        <v>0</v>
      </c>
      <c r="AC417" s="331">
        <f t="shared" si="252"/>
        <v>0</v>
      </c>
      <c r="AD417" s="331">
        <f t="shared" si="252"/>
        <v>0</v>
      </c>
      <c r="AE417" s="331">
        <f t="shared" si="252"/>
        <v>0</v>
      </c>
      <c r="AF417" s="331">
        <f t="shared" si="252"/>
        <v>0</v>
      </c>
      <c r="AG417" s="331">
        <f t="shared" si="252"/>
        <v>0</v>
      </c>
      <c r="AH417" s="331">
        <f t="shared" si="252"/>
        <v>0</v>
      </c>
      <c r="AI417" s="331">
        <f t="shared" si="252"/>
        <v>0</v>
      </c>
      <c r="AJ417" s="331">
        <f t="shared" si="252"/>
        <v>0</v>
      </c>
      <c r="AK417" s="331">
        <f t="shared" si="252"/>
        <v>0</v>
      </c>
      <c r="AL417" s="331">
        <f t="shared" si="252"/>
        <v>0</v>
      </c>
      <c r="AM417" s="331">
        <f t="shared" si="252"/>
        <v>0</v>
      </c>
      <c r="AN417" s="331">
        <f t="shared" si="252"/>
        <v>0</v>
      </c>
      <c r="AO417" s="331">
        <f t="shared" si="252"/>
        <v>0</v>
      </c>
      <c r="AP417" s="331">
        <f aca="true" t="shared" si="253" ref="AP417:BA417">+($F481/$F$9)</f>
        <v>0</v>
      </c>
      <c r="AQ417" s="331">
        <f t="shared" si="253"/>
        <v>0</v>
      </c>
      <c r="AR417" s="331">
        <f t="shared" si="253"/>
        <v>0</v>
      </c>
      <c r="AS417" s="331">
        <f t="shared" si="253"/>
        <v>0</v>
      </c>
      <c r="AT417" s="331">
        <f t="shared" si="253"/>
        <v>0</v>
      </c>
      <c r="AU417" s="331">
        <f t="shared" si="253"/>
        <v>0</v>
      </c>
      <c r="AV417" s="331">
        <f t="shared" si="253"/>
        <v>0</v>
      </c>
      <c r="AW417" s="331">
        <f t="shared" si="253"/>
        <v>0</v>
      </c>
      <c r="AX417" s="331">
        <f t="shared" si="253"/>
        <v>0</v>
      </c>
      <c r="AY417" s="331">
        <f t="shared" si="253"/>
        <v>0</v>
      </c>
      <c r="AZ417" s="331">
        <f t="shared" si="253"/>
        <v>0</v>
      </c>
      <c r="BA417" s="331">
        <f t="shared" si="253"/>
        <v>0</v>
      </c>
      <c r="BB417" s="331">
        <f aca="true" t="shared" si="254" ref="BB417:BM417">+($F481/$F$9)</f>
        <v>0</v>
      </c>
      <c r="BC417" s="331">
        <f t="shared" si="254"/>
        <v>0</v>
      </c>
      <c r="BD417" s="331">
        <f t="shared" si="254"/>
        <v>0</v>
      </c>
      <c r="BE417" s="331">
        <f t="shared" si="254"/>
        <v>0</v>
      </c>
      <c r="BF417" s="331">
        <f t="shared" si="254"/>
        <v>0</v>
      </c>
      <c r="BG417" s="331">
        <f t="shared" si="254"/>
        <v>0</v>
      </c>
      <c r="BH417" s="331">
        <f t="shared" si="254"/>
        <v>0</v>
      </c>
      <c r="BI417" s="331">
        <f t="shared" si="254"/>
        <v>0</v>
      </c>
      <c r="BJ417" s="331">
        <f t="shared" si="254"/>
        <v>0</v>
      </c>
      <c r="BK417" s="331">
        <f t="shared" si="254"/>
        <v>0</v>
      </c>
      <c r="BL417" s="331">
        <f t="shared" si="254"/>
        <v>0</v>
      </c>
      <c r="BM417" s="331">
        <f t="shared" si="254"/>
        <v>0</v>
      </c>
    </row>
    <row r="418" spans="5:65" s="331" customFormat="1" ht="15.75">
      <c r="E418" s="416">
        <f t="shared" si="224"/>
        <v>43869</v>
      </c>
      <c r="S418" s="331">
        <f aca="true" t="shared" si="255" ref="S418:AO418">+($F482/$F$9)</f>
        <v>0</v>
      </c>
      <c r="T418" s="331">
        <f t="shared" si="255"/>
        <v>0</v>
      </c>
      <c r="U418" s="331">
        <f t="shared" si="255"/>
        <v>0</v>
      </c>
      <c r="V418" s="331">
        <f t="shared" si="255"/>
        <v>0</v>
      </c>
      <c r="W418" s="331">
        <f t="shared" si="255"/>
        <v>0</v>
      </c>
      <c r="X418" s="331">
        <f t="shared" si="255"/>
        <v>0</v>
      </c>
      <c r="Y418" s="331">
        <f t="shared" si="255"/>
        <v>0</v>
      </c>
      <c r="Z418" s="331">
        <f t="shared" si="255"/>
        <v>0</v>
      </c>
      <c r="AA418" s="331">
        <f t="shared" si="255"/>
        <v>0</v>
      </c>
      <c r="AB418" s="331">
        <f t="shared" si="255"/>
        <v>0</v>
      </c>
      <c r="AC418" s="331">
        <f t="shared" si="255"/>
        <v>0</v>
      </c>
      <c r="AD418" s="331">
        <f t="shared" si="255"/>
        <v>0</v>
      </c>
      <c r="AE418" s="331">
        <f t="shared" si="255"/>
        <v>0</v>
      </c>
      <c r="AF418" s="331">
        <f t="shared" si="255"/>
        <v>0</v>
      </c>
      <c r="AG418" s="331">
        <f t="shared" si="255"/>
        <v>0</v>
      </c>
      <c r="AH418" s="331">
        <f t="shared" si="255"/>
        <v>0</v>
      </c>
      <c r="AI418" s="331">
        <f t="shared" si="255"/>
        <v>0</v>
      </c>
      <c r="AJ418" s="331">
        <f t="shared" si="255"/>
        <v>0</v>
      </c>
      <c r="AK418" s="331">
        <f t="shared" si="255"/>
        <v>0</v>
      </c>
      <c r="AL418" s="331">
        <f t="shared" si="255"/>
        <v>0</v>
      </c>
      <c r="AM418" s="331">
        <f t="shared" si="255"/>
        <v>0</v>
      </c>
      <c r="AN418" s="331">
        <f t="shared" si="255"/>
        <v>0</v>
      </c>
      <c r="AO418" s="331">
        <f t="shared" si="255"/>
        <v>0</v>
      </c>
      <c r="AP418" s="331">
        <f aca="true" t="shared" si="256" ref="AP418:BA418">+($F482/$F$9)</f>
        <v>0</v>
      </c>
      <c r="AQ418" s="331">
        <f t="shared" si="256"/>
        <v>0</v>
      </c>
      <c r="AR418" s="331">
        <f t="shared" si="256"/>
        <v>0</v>
      </c>
      <c r="AS418" s="331">
        <f t="shared" si="256"/>
        <v>0</v>
      </c>
      <c r="AT418" s="331">
        <f t="shared" si="256"/>
        <v>0</v>
      </c>
      <c r="AU418" s="331">
        <f t="shared" si="256"/>
        <v>0</v>
      </c>
      <c r="AV418" s="331">
        <f t="shared" si="256"/>
        <v>0</v>
      </c>
      <c r="AW418" s="331">
        <f t="shared" si="256"/>
        <v>0</v>
      </c>
      <c r="AX418" s="331">
        <f t="shared" si="256"/>
        <v>0</v>
      </c>
      <c r="AY418" s="331">
        <f t="shared" si="256"/>
        <v>0</v>
      </c>
      <c r="AZ418" s="331">
        <f t="shared" si="256"/>
        <v>0</v>
      </c>
      <c r="BA418" s="331">
        <f t="shared" si="256"/>
        <v>0</v>
      </c>
      <c r="BB418" s="331">
        <f aca="true" t="shared" si="257" ref="BB418:BM418">+($F482/$F$9)</f>
        <v>0</v>
      </c>
      <c r="BC418" s="331">
        <f t="shared" si="257"/>
        <v>0</v>
      </c>
      <c r="BD418" s="331">
        <f t="shared" si="257"/>
        <v>0</v>
      </c>
      <c r="BE418" s="331">
        <f t="shared" si="257"/>
        <v>0</v>
      </c>
      <c r="BF418" s="331">
        <f t="shared" si="257"/>
        <v>0</v>
      </c>
      <c r="BG418" s="331">
        <f t="shared" si="257"/>
        <v>0</v>
      </c>
      <c r="BH418" s="331">
        <f t="shared" si="257"/>
        <v>0</v>
      </c>
      <c r="BI418" s="331">
        <f t="shared" si="257"/>
        <v>0</v>
      </c>
      <c r="BJ418" s="331">
        <f t="shared" si="257"/>
        <v>0</v>
      </c>
      <c r="BK418" s="331">
        <f t="shared" si="257"/>
        <v>0</v>
      </c>
      <c r="BL418" s="331">
        <f t="shared" si="257"/>
        <v>0</v>
      </c>
      <c r="BM418" s="331">
        <f t="shared" si="257"/>
        <v>0</v>
      </c>
    </row>
    <row r="419" spans="5:67" ht="15.75">
      <c r="E419" s="416">
        <f t="shared" si="224"/>
        <v>43900</v>
      </c>
      <c r="F419" s="331"/>
      <c r="G419" s="331"/>
      <c r="H419" s="331"/>
      <c r="I419" s="331"/>
      <c r="J419" s="331"/>
      <c r="K419" s="331"/>
      <c r="L419" s="331"/>
      <c r="M419" s="331"/>
      <c r="N419" s="331"/>
      <c r="O419" s="331"/>
      <c r="P419" s="331"/>
      <c r="Q419" s="331"/>
      <c r="R419" s="331"/>
      <c r="S419" s="331"/>
      <c r="T419" s="331">
        <f aca="true" t="shared" si="258" ref="T419:AO419">+($F483/$F$9)</f>
        <v>0</v>
      </c>
      <c r="U419" s="331">
        <f t="shared" si="258"/>
        <v>0</v>
      </c>
      <c r="V419" s="331">
        <f t="shared" si="258"/>
        <v>0</v>
      </c>
      <c r="W419" s="331">
        <f t="shared" si="258"/>
        <v>0</v>
      </c>
      <c r="X419" s="331">
        <f t="shared" si="258"/>
        <v>0</v>
      </c>
      <c r="Y419" s="331">
        <f t="shared" si="258"/>
        <v>0</v>
      </c>
      <c r="Z419" s="331">
        <f t="shared" si="258"/>
        <v>0</v>
      </c>
      <c r="AA419" s="331">
        <f t="shared" si="258"/>
        <v>0</v>
      </c>
      <c r="AB419" s="331">
        <f t="shared" si="258"/>
        <v>0</v>
      </c>
      <c r="AC419" s="331">
        <f t="shared" si="258"/>
        <v>0</v>
      </c>
      <c r="AD419" s="331">
        <f t="shared" si="258"/>
        <v>0</v>
      </c>
      <c r="AE419" s="331">
        <f t="shared" si="258"/>
        <v>0</v>
      </c>
      <c r="AF419" s="331">
        <f t="shared" si="258"/>
        <v>0</v>
      </c>
      <c r="AG419" s="331">
        <f t="shared" si="258"/>
        <v>0</v>
      </c>
      <c r="AH419" s="331">
        <f t="shared" si="258"/>
        <v>0</v>
      </c>
      <c r="AI419" s="331">
        <f t="shared" si="258"/>
        <v>0</v>
      </c>
      <c r="AJ419" s="331">
        <f t="shared" si="258"/>
        <v>0</v>
      </c>
      <c r="AK419" s="331">
        <f t="shared" si="258"/>
        <v>0</v>
      </c>
      <c r="AL419" s="331">
        <f t="shared" si="258"/>
        <v>0</v>
      </c>
      <c r="AM419" s="331">
        <f t="shared" si="258"/>
        <v>0</v>
      </c>
      <c r="AN419" s="331">
        <f t="shared" si="258"/>
        <v>0</v>
      </c>
      <c r="AO419" s="331">
        <f t="shared" si="258"/>
        <v>0</v>
      </c>
      <c r="AP419" s="331">
        <f aca="true" t="shared" si="259" ref="AP419:BA419">+($F483/$F$9)</f>
        <v>0</v>
      </c>
      <c r="AQ419" s="331">
        <f t="shared" si="259"/>
        <v>0</v>
      </c>
      <c r="AR419" s="331">
        <f t="shared" si="259"/>
        <v>0</v>
      </c>
      <c r="AS419" s="331">
        <f t="shared" si="259"/>
        <v>0</v>
      </c>
      <c r="AT419" s="331">
        <f t="shared" si="259"/>
        <v>0</v>
      </c>
      <c r="AU419" s="331">
        <f t="shared" si="259"/>
        <v>0</v>
      </c>
      <c r="AV419" s="331">
        <f t="shared" si="259"/>
        <v>0</v>
      </c>
      <c r="AW419" s="331">
        <f t="shared" si="259"/>
        <v>0</v>
      </c>
      <c r="AX419" s="331">
        <f t="shared" si="259"/>
        <v>0</v>
      </c>
      <c r="AY419" s="331">
        <f t="shared" si="259"/>
        <v>0</v>
      </c>
      <c r="AZ419" s="331">
        <f t="shared" si="259"/>
        <v>0</v>
      </c>
      <c r="BA419" s="331">
        <f t="shared" si="259"/>
        <v>0</v>
      </c>
      <c r="BB419" s="331">
        <f aca="true" t="shared" si="260" ref="BB419:BM419">+($F483/$F$9)</f>
        <v>0</v>
      </c>
      <c r="BC419" s="331">
        <f t="shared" si="260"/>
        <v>0</v>
      </c>
      <c r="BD419" s="331">
        <f t="shared" si="260"/>
        <v>0</v>
      </c>
      <c r="BE419" s="331">
        <f t="shared" si="260"/>
        <v>0</v>
      </c>
      <c r="BF419" s="331">
        <f t="shared" si="260"/>
        <v>0</v>
      </c>
      <c r="BG419" s="331">
        <f t="shared" si="260"/>
        <v>0</v>
      </c>
      <c r="BH419" s="331">
        <f t="shared" si="260"/>
        <v>0</v>
      </c>
      <c r="BI419" s="331">
        <f t="shared" si="260"/>
        <v>0</v>
      </c>
      <c r="BJ419" s="331">
        <f t="shared" si="260"/>
        <v>0</v>
      </c>
      <c r="BK419" s="331">
        <f t="shared" si="260"/>
        <v>0</v>
      </c>
      <c r="BL419" s="331">
        <f t="shared" si="260"/>
        <v>0</v>
      </c>
      <c r="BM419" s="331">
        <f t="shared" si="260"/>
        <v>0</v>
      </c>
      <c r="BN419" s="331"/>
      <c r="BO419" s="331"/>
    </row>
    <row r="420" spans="5:68" ht="15.75">
      <c r="E420" s="416">
        <f t="shared" si="224"/>
        <v>43931</v>
      </c>
      <c r="F420" s="331"/>
      <c r="G420" s="331"/>
      <c r="H420" s="331"/>
      <c r="I420" s="331"/>
      <c r="J420" s="331"/>
      <c r="K420" s="331"/>
      <c r="L420" s="331"/>
      <c r="M420" s="331"/>
      <c r="N420" s="331"/>
      <c r="O420" s="331"/>
      <c r="P420" s="331"/>
      <c r="Q420" s="331"/>
      <c r="R420" s="331"/>
      <c r="S420" s="331"/>
      <c r="T420" s="331"/>
      <c r="U420" s="331">
        <f aca="true" t="shared" si="261" ref="U420:AO420">+($F484/$F$9)</f>
        <v>0</v>
      </c>
      <c r="V420" s="331">
        <f t="shared" si="261"/>
        <v>0</v>
      </c>
      <c r="W420" s="331">
        <f t="shared" si="261"/>
        <v>0</v>
      </c>
      <c r="X420" s="331">
        <f t="shared" si="261"/>
        <v>0</v>
      </c>
      <c r="Y420" s="331">
        <f t="shared" si="261"/>
        <v>0</v>
      </c>
      <c r="Z420" s="331">
        <f t="shared" si="261"/>
        <v>0</v>
      </c>
      <c r="AA420" s="331">
        <f t="shared" si="261"/>
        <v>0</v>
      </c>
      <c r="AB420" s="331">
        <f t="shared" si="261"/>
        <v>0</v>
      </c>
      <c r="AC420" s="331">
        <f t="shared" si="261"/>
        <v>0</v>
      </c>
      <c r="AD420" s="331">
        <f t="shared" si="261"/>
        <v>0</v>
      </c>
      <c r="AE420" s="331">
        <f t="shared" si="261"/>
        <v>0</v>
      </c>
      <c r="AF420" s="331">
        <f t="shared" si="261"/>
        <v>0</v>
      </c>
      <c r="AG420" s="331">
        <f t="shared" si="261"/>
        <v>0</v>
      </c>
      <c r="AH420" s="331">
        <f t="shared" si="261"/>
        <v>0</v>
      </c>
      <c r="AI420" s="331">
        <f t="shared" si="261"/>
        <v>0</v>
      </c>
      <c r="AJ420" s="331">
        <f t="shared" si="261"/>
        <v>0</v>
      </c>
      <c r="AK420" s="331">
        <f t="shared" si="261"/>
        <v>0</v>
      </c>
      <c r="AL420" s="331">
        <f t="shared" si="261"/>
        <v>0</v>
      </c>
      <c r="AM420" s="331">
        <f t="shared" si="261"/>
        <v>0</v>
      </c>
      <c r="AN420" s="331">
        <f t="shared" si="261"/>
        <v>0</v>
      </c>
      <c r="AO420" s="331">
        <f t="shared" si="261"/>
        <v>0</v>
      </c>
      <c r="AP420" s="331">
        <f aca="true" t="shared" si="262" ref="AP420:BA420">+($F484/$F$9)</f>
        <v>0</v>
      </c>
      <c r="AQ420" s="331">
        <f t="shared" si="262"/>
        <v>0</v>
      </c>
      <c r="AR420" s="331">
        <f t="shared" si="262"/>
        <v>0</v>
      </c>
      <c r="AS420" s="331">
        <f t="shared" si="262"/>
        <v>0</v>
      </c>
      <c r="AT420" s="331">
        <f t="shared" si="262"/>
        <v>0</v>
      </c>
      <c r="AU420" s="331">
        <f t="shared" si="262"/>
        <v>0</v>
      </c>
      <c r="AV420" s="331">
        <f t="shared" si="262"/>
        <v>0</v>
      </c>
      <c r="AW420" s="331">
        <f t="shared" si="262"/>
        <v>0</v>
      </c>
      <c r="AX420" s="331">
        <f t="shared" si="262"/>
        <v>0</v>
      </c>
      <c r="AY420" s="331">
        <f t="shared" si="262"/>
        <v>0</v>
      </c>
      <c r="AZ420" s="331">
        <f t="shared" si="262"/>
        <v>0</v>
      </c>
      <c r="BA420" s="331">
        <f t="shared" si="262"/>
        <v>0</v>
      </c>
      <c r="BB420" s="331">
        <f aca="true" t="shared" si="263" ref="BB420:BM420">+($F484/$F$9)</f>
        <v>0</v>
      </c>
      <c r="BC420" s="331">
        <f t="shared" si="263"/>
        <v>0</v>
      </c>
      <c r="BD420" s="331">
        <f t="shared" si="263"/>
        <v>0</v>
      </c>
      <c r="BE420" s="331">
        <f t="shared" si="263"/>
        <v>0</v>
      </c>
      <c r="BF420" s="331">
        <f t="shared" si="263"/>
        <v>0</v>
      </c>
      <c r="BG420" s="331">
        <f t="shared" si="263"/>
        <v>0</v>
      </c>
      <c r="BH420" s="331">
        <f t="shared" si="263"/>
        <v>0</v>
      </c>
      <c r="BI420" s="331">
        <f t="shared" si="263"/>
        <v>0</v>
      </c>
      <c r="BJ420" s="331">
        <f t="shared" si="263"/>
        <v>0</v>
      </c>
      <c r="BK420" s="331">
        <f t="shared" si="263"/>
        <v>0</v>
      </c>
      <c r="BL420" s="331">
        <f t="shared" si="263"/>
        <v>0</v>
      </c>
      <c r="BM420" s="331">
        <f t="shared" si="263"/>
        <v>0</v>
      </c>
      <c r="BN420" s="331"/>
      <c r="BO420" s="331"/>
      <c r="BP420" s="331"/>
    </row>
    <row r="421" spans="5:69" ht="15.75">
      <c r="E421" s="416">
        <f t="shared" si="224"/>
        <v>43962</v>
      </c>
      <c r="F421" s="331"/>
      <c r="G421" s="331"/>
      <c r="H421" s="331"/>
      <c r="I421" s="331"/>
      <c r="J421" s="331"/>
      <c r="K421" s="331"/>
      <c r="L421" s="331"/>
      <c r="M421" s="331"/>
      <c r="N421" s="331"/>
      <c r="O421" s="331"/>
      <c r="P421" s="331"/>
      <c r="Q421" s="331"/>
      <c r="R421" s="331"/>
      <c r="S421" s="331"/>
      <c r="T421" s="331"/>
      <c r="U421" s="331"/>
      <c r="V421" s="331">
        <f aca="true" t="shared" si="264" ref="V421:AO421">+($F485/$F$9)</f>
        <v>0</v>
      </c>
      <c r="W421" s="331">
        <f t="shared" si="264"/>
        <v>0</v>
      </c>
      <c r="X421" s="331">
        <f t="shared" si="264"/>
        <v>0</v>
      </c>
      <c r="Y421" s="331">
        <f t="shared" si="264"/>
        <v>0</v>
      </c>
      <c r="Z421" s="331">
        <f t="shared" si="264"/>
        <v>0</v>
      </c>
      <c r="AA421" s="331">
        <f t="shared" si="264"/>
        <v>0</v>
      </c>
      <c r="AB421" s="331">
        <f t="shared" si="264"/>
        <v>0</v>
      </c>
      <c r="AC421" s="331">
        <f t="shared" si="264"/>
        <v>0</v>
      </c>
      <c r="AD421" s="331">
        <f t="shared" si="264"/>
        <v>0</v>
      </c>
      <c r="AE421" s="331">
        <f t="shared" si="264"/>
        <v>0</v>
      </c>
      <c r="AF421" s="331">
        <f t="shared" si="264"/>
        <v>0</v>
      </c>
      <c r="AG421" s="331">
        <f t="shared" si="264"/>
        <v>0</v>
      </c>
      <c r="AH421" s="331">
        <f t="shared" si="264"/>
        <v>0</v>
      </c>
      <c r="AI421" s="331">
        <f t="shared" si="264"/>
        <v>0</v>
      </c>
      <c r="AJ421" s="331">
        <f t="shared" si="264"/>
        <v>0</v>
      </c>
      <c r="AK421" s="331">
        <f t="shared" si="264"/>
        <v>0</v>
      </c>
      <c r="AL421" s="331">
        <f t="shared" si="264"/>
        <v>0</v>
      </c>
      <c r="AM421" s="331">
        <f t="shared" si="264"/>
        <v>0</v>
      </c>
      <c r="AN421" s="331">
        <f t="shared" si="264"/>
        <v>0</v>
      </c>
      <c r="AO421" s="331">
        <f t="shared" si="264"/>
        <v>0</v>
      </c>
      <c r="AP421" s="331">
        <f aca="true" t="shared" si="265" ref="AP421:BA421">+($F485/$F$9)</f>
        <v>0</v>
      </c>
      <c r="AQ421" s="331">
        <f t="shared" si="265"/>
        <v>0</v>
      </c>
      <c r="AR421" s="331">
        <f t="shared" si="265"/>
        <v>0</v>
      </c>
      <c r="AS421" s="331">
        <f t="shared" si="265"/>
        <v>0</v>
      </c>
      <c r="AT421" s="331">
        <f t="shared" si="265"/>
        <v>0</v>
      </c>
      <c r="AU421" s="331">
        <f t="shared" si="265"/>
        <v>0</v>
      </c>
      <c r="AV421" s="331">
        <f t="shared" si="265"/>
        <v>0</v>
      </c>
      <c r="AW421" s="331">
        <f t="shared" si="265"/>
        <v>0</v>
      </c>
      <c r="AX421" s="331">
        <f t="shared" si="265"/>
        <v>0</v>
      </c>
      <c r="AY421" s="331">
        <f t="shared" si="265"/>
        <v>0</v>
      </c>
      <c r="AZ421" s="331">
        <f t="shared" si="265"/>
        <v>0</v>
      </c>
      <c r="BA421" s="331">
        <f t="shared" si="265"/>
        <v>0</v>
      </c>
      <c r="BB421" s="331">
        <f aca="true" t="shared" si="266" ref="BB421:BM421">+($F485/$F$9)</f>
        <v>0</v>
      </c>
      <c r="BC421" s="331">
        <f t="shared" si="266"/>
        <v>0</v>
      </c>
      <c r="BD421" s="331">
        <f t="shared" si="266"/>
        <v>0</v>
      </c>
      <c r="BE421" s="331">
        <f t="shared" si="266"/>
        <v>0</v>
      </c>
      <c r="BF421" s="331">
        <f t="shared" si="266"/>
        <v>0</v>
      </c>
      <c r="BG421" s="331">
        <f t="shared" si="266"/>
        <v>0</v>
      </c>
      <c r="BH421" s="331">
        <f t="shared" si="266"/>
        <v>0</v>
      </c>
      <c r="BI421" s="331">
        <f t="shared" si="266"/>
        <v>0</v>
      </c>
      <c r="BJ421" s="331">
        <f t="shared" si="266"/>
        <v>0</v>
      </c>
      <c r="BK421" s="331">
        <f t="shared" si="266"/>
        <v>0</v>
      </c>
      <c r="BL421" s="331">
        <f t="shared" si="266"/>
        <v>0</v>
      </c>
      <c r="BM421" s="331">
        <f t="shared" si="266"/>
        <v>0</v>
      </c>
      <c r="BN421" s="331"/>
      <c r="BO421" s="331"/>
      <c r="BP421" s="331"/>
      <c r="BQ421" s="331"/>
    </row>
    <row r="422" spans="5:70" ht="15.75">
      <c r="E422" s="416">
        <f t="shared" si="224"/>
        <v>43993</v>
      </c>
      <c r="F422" s="331"/>
      <c r="G422" s="331"/>
      <c r="H422" s="331"/>
      <c r="I422" s="331"/>
      <c r="J422" s="331"/>
      <c r="K422" s="331"/>
      <c r="L422" s="331"/>
      <c r="M422" s="331"/>
      <c r="N422" s="331"/>
      <c r="O422" s="331"/>
      <c r="P422" s="331"/>
      <c r="Q422" s="331"/>
      <c r="R422" s="331"/>
      <c r="S422" s="331"/>
      <c r="T422" s="331"/>
      <c r="U422" s="331"/>
      <c r="V422" s="331"/>
      <c r="W422" s="331">
        <f aca="true" t="shared" si="267" ref="W422:AO422">+($F486/$F$9)</f>
        <v>0</v>
      </c>
      <c r="X422" s="331">
        <f t="shared" si="267"/>
        <v>0</v>
      </c>
      <c r="Y422" s="331">
        <f t="shared" si="267"/>
        <v>0</v>
      </c>
      <c r="Z422" s="331">
        <f t="shared" si="267"/>
        <v>0</v>
      </c>
      <c r="AA422" s="331">
        <f t="shared" si="267"/>
        <v>0</v>
      </c>
      <c r="AB422" s="331">
        <f t="shared" si="267"/>
        <v>0</v>
      </c>
      <c r="AC422" s="331">
        <f t="shared" si="267"/>
        <v>0</v>
      </c>
      <c r="AD422" s="331">
        <f t="shared" si="267"/>
        <v>0</v>
      </c>
      <c r="AE422" s="331">
        <f t="shared" si="267"/>
        <v>0</v>
      </c>
      <c r="AF422" s="331">
        <f t="shared" si="267"/>
        <v>0</v>
      </c>
      <c r="AG422" s="331">
        <f t="shared" si="267"/>
        <v>0</v>
      </c>
      <c r="AH422" s="331">
        <f t="shared" si="267"/>
        <v>0</v>
      </c>
      <c r="AI422" s="331">
        <f t="shared" si="267"/>
        <v>0</v>
      </c>
      <c r="AJ422" s="331">
        <f t="shared" si="267"/>
        <v>0</v>
      </c>
      <c r="AK422" s="331">
        <f t="shared" si="267"/>
        <v>0</v>
      </c>
      <c r="AL422" s="331">
        <f t="shared" si="267"/>
        <v>0</v>
      </c>
      <c r="AM422" s="331">
        <f t="shared" si="267"/>
        <v>0</v>
      </c>
      <c r="AN422" s="331">
        <f t="shared" si="267"/>
        <v>0</v>
      </c>
      <c r="AO422" s="331">
        <f t="shared" si="267"/>
        <v>0</v>
      </c>
      <c r="AP422" s="331">
        <f aca="true" t="shared" si="268" ref="AP422:BA422">+($F486/$F$9)</f>
        <v>0</v>
      </c>
      <c r="AQ422" s="331">
        <f t="shared" si="268"/>
        <v>0</v>
      </c>
      <c r="AR422" s="331">
        <f t="shared" si="268"/>
        <v>0</v>
      </c>
      <c r="AS422" s="331">
        <f t="shared" si="268"/>
        <v>0</v>
      </c>
      <c r="AT422" s="331">
        <f t="shared" si="268"/>
        <v>0</v>
      </c>
      <c r="AU422" s="331">
        <f t="shared" si="268"/>
        <v>0</v>
      </c>
      <c r="AV422" s="331">
        <f t="shared" si="268"/>
        <v>0</v>
      </c>
      <c r="AW422" s="331">
        <f t="shared" si="268"/>
        <v>0</v>
      </c>
      <c r="AX422" s="331">
        <f t="shared" si="268"/>
        <v>0</v>
      </c>
      <c r="AY422" s="331">
        <f t="shared" si="268"/>
        <v>0</v>
      </c>
      <c r="AZ422" s="331">
        <f t="shared" si="268"/>
        <v>0</v>
      </c>
      <c r="BA422" s="331">
        <f t="shared" si="268"/>
        <v>0</v>
      </c>
      <c r="BB422" s="331">
        <f aca="true" t="shared" si="269" ref="BB422:BM422">+($F486/$F$9)</f>
        <v>0</v>
      </c>
      <c r="BC422" s="331">
        <f t="shared" si="269"/>
        <v>0</v>
      </c>
      <c r="BD422" s="331">
        <f t="shared" si="269"/>
        <v>0</v>
      </c>
      <c r="BE422" s="331">
        <f t="shared" si="269"/>
        <v>0</v>
      </c>
      <c r="BF422" s="331">
        <f t="shared" si="269"/>
        <v>0</v>
      </c>
      <c r="BG422" s="331">
        <f t="shared" si="269"/>
        <v>0</v>
      </c>
      <c r="BH422" s="331">
        <f t="shared" si="269"/>
        <v>0</v>
      </c>
      <c r="BI422" s="331">
        <f t="shared" si="269"/>
        <v>0</v>
      </c>
      <c r="BJ422" s="331">
        <f t="shared" si="269"/>
        <v>0</v>
      </c>
      <c r="BK422" s="331">
        <f t="shared" si="269"/>
        <v>0</v>
      </c>
      <c r="BL422" s="331">
        <f t="shared" si="269"/>
        <v>0</v>
      </c>
      <c r="BM422" s="331">
        <f t="shared" si="269"/>
        <v>0</v>
      </c>
      <c r="BN422" s="331"/>
      <c r="BO422" s="331"/>
      <c r="BP422" s="331"/>
      <c r="BQ422" s="331"/>
      <c r="BR422" s="331"/>
    </row>
    <row r="423" spans="5:71" ht="15.75">
      <c r="E423" s="416">
        <f t="shared" si="224"/>
        <v>44024</v>
      </c>
      <c r="F423" s="331"/>
      <c r="G423" s="331"/>
      <c r="H423" s="331"/>
      <c r="I423" s="331"/>
      <c r="J423" s="331"/>
      <c r="K423" s="331"/>
      <c r="L423" s="331"/>
      <c r="M423" s="331"/>
      <c r="N423" s="331"/>
      <c r="O423" s="331"/>
      <c r="P423" s="331"/>
      <c r="Q423" s="331"/>
      <c r="R423" s="331"/>
      <c r="S423" s="331"/>
      <c r="T423" s="331"/>
      <c r="U423" s="331"/>
      <c r="V423" s="331"/>
      <c r="W423" s="331"/>
      <c r="X423" s="331">
        <f aca="true" t="shared" si="270" ref="X423:AO423">+($F487/$F$9)</f>
        <v>0</v>
      </c>
      <c r="Y423" s="331">
        <f t="shared" si="270"/>
        <v>0</v>
      </c>
      <c r="Z423" s="331">
        <f t="shared" si="270"/>
        <v>0</v>
      </c>
      <c r="AA423" s="331">
        <f t="shared" si="270"/>
        <v>0</v>
      </c>
      <c r="AB423" s="331">
        <f t="shared" si="270"/>
        <v>0</v>
      </c>
      <c r="AC423" s="331">
        <f t="shared" si="270"/>
        <v>0</v>
      </c>
      <c r="AD423" s="331">
        <f t="shared" si="270"/>
        <v>0</v>
      </c>
      <c r="AE423" s="331">
        <f t="shared" si="270"/>
        <v>0</v>
      </c>
      <c r="AF423" s="331">
        <f t="shared" si="270"/>
        <v>0</v>
      </c>
      <c r="AG423" s="331">
        <f t="shared" si="270"/>
        <v>0</v>
      </c>
      <c r="AH423" s="331">
        <f t="shared" si="270"/>
        <v>0</v>
      </c>
      <c r="AI423" s="331">
        <f t="shared" si="270"/>
        <v>0</v>
      </c>
      <c r="AJ423" s="331">
        <f t="shared" si="270"/>
        <v>0</v>
      </c>
      <c r="AK423" s="331">
        <f t="shared" si="270"/>
        <v>0</v>
      </c>
      <c r="AL423" s="331">
        <f t="shared" si="270"/>
        <v>0</v>
      </c>
      <c r="AM423" s="331">
        <f t="shared" si="270"/>
        <v>0</v>
      </c>
      <c r="AN423" s="331">
        <f t="shared" si="270"/>
        <v>0</v>
      </c>
      <c r="AO423" s="331">
        <f t="shared" si="270"/>
        <v>0</v>
      </c>
      <c r="AP423" s="331">
        <f aca="true" t="shared" si="271" ref="AP423:BA423">+($F487/$F$9)</f>
        <v>0</v>
      </c>
      <c r="AQ423" s="331">
        <f t="shared" si="271"/>
        <v>0</v>
      </c>
      <c r="AR423" s="331">
        <f t="shared" si="271"/>
        <v>0</v>
      </c>
      <c r="AS423" s="331">
        <f t="shared" si="271"/>
        <v>0</v>
      </c>
      <c r="AT423" s="331">
        <f t="shared" si="271"/>
        <v>0</v>
      </c>
      <c r="AU423" s="331">
        <f t="shared" si="271"/>
        <v>0</v>
      </c>
      <c r="AV423" s="331">
        <f t="shared" si="271"/>
        <v>0</v>
      </c>
      <c r="AW423" s="331">
        <f t="shared" si="271"/>
        <v>0</v>
      </c>
      <c r="AX423" s="331">
        <f t="shared" si="271"/>
        <v>0</v>
      </c>
      <c r="AY423" s="331">
        <f t="shared" si="271"/>
        <v>0</v>
      </c>
      <c r="AZ423" s="331">
        <f t="shared" si="271"/>
        <v>0</v>
      </c>
      <c r="BA423" s="331">
        <f t="shared" si="271"/>
        <v>0</v>
      </c>
      <c r="BB423" s="331">
        <f aca="true" t="shared" si="272" ref="BB423:BM423">+($F487/$F$9)</f>
        <v>0</v>
      </c>
      <c r="BC423" s="331">
        <f t="shared" si="272"/>
        <v>0</v>
      </c>
      <c r="BD423" s="331">
        <f t="shared" si="272"/>
        <v>0</v>
      </c>
      <c r="BE423" s="331">
        <f t="shared" si="272"/>
        <v>0</v>
      </c>
      <c r="BF423" s="331">
        <f t="shared" si="272"/>
        <v>0</v>
      </c>
      <c r="BG423" s="331">
        <f t="shared" si="272"/>
        <v>0</v>
      </c>
      <c r="BH423" s="331">
        <f t="shared" si="272"/>
        <v>0</v>
      </c>
      <c r="BI423" s="331">
        <f t="shared" si="272"/>
        <v>0</v>
      </c>
      <c r="BJ423" s="331">
        <f t="shared" si="272"/>
        <v>0</v>
      </c>
      <c r="BK423" s="331">
        <f t="shared" si="272"/>
        <v>0</v>
      </c>
      <c r="BL423" s="331">
        <f t="shared" si="272"/>
        <v>0</v>
      </c>
      <c r="BM423" s="331">
        <f t="shared" si="272"/>
        <v>0</v>
      </c>
      <c r="BN423" s="331"/>
      <c r="BO423" s="331"/>
      <c r="BP423" s="331"/>
      <c r="BQ423" s="331"/>
      <c r="BR423" s="331"/>
      <c r="BS423" s="331"/>
    </row>
    <row r="424" spans="5:72" ht="15.75">
      <c r="E424" s="416">
        <f t="shared" si="224"/>
        <v>44055</v>
      </c>
      <c r="F424" s="331"/>
      <c r="G424" s="331"/>
      <c r="H424" s="331"/>
      <c r="I424" s="331"/>
      <c r="J424" s="331"/>
      <c r="K424" s="331"/>
      <c r="L424" s="331"/>
      <c r="M424" s="331"/>
      <c r="N424" s="331"/>
      <c r="O424" s="331"/>
      <c r="P424" s="331"/>
      <c r="Q424" s="331"/>
      <c r="R424" s="331"/>
      <c r="S424" s="331"/>
      <c r="T424" s="331"/>
      <c r="U424" s="331"/>
      <c r="V424" s="331"/>
      <c r="W424" s="331"/>
      <c r="X424" s="331"/>
      <c r="Y424" s="331">
        <f aca="true" t="shared" si="273" ref="Y424:AO424">+($F488/$F$9)</f>
        <v>0</v>
      </c>
      <c r="Z424" s="331">
        <f t="shared" si="273"/>
        <v>0</v>
      </c>
      <c r="AA424" s="331">
        <f t="shared" si="273"/>
        <v>0</v>
      </c>
      <c r="AB424" s="331">
        <f t="shared" si="273"/>
        <v>0</v>
      </c>
      <c r="AC424" s="331">
        <f t="shared" si="273"/>
        <v>0</v>
      </c>
      <c r="AD424" s="331">
        <f t="shared" si="273"/>
        <v>0</v>
      </c>
      <c r="AE424" s="331">
        <f t="shared" si="273"/>
        <v>0</v>
      </c>
      <c r="AF424" s="331">
        <f t="shared" si="273"/>
        <v>0</v>
      </c>
      <c r="AG424" s="331">
        <f t="shared" si="273"/>
        <v>0</v>
      </c>
      <c r="AH424" s="331">
        <f t="shared" si="273"/>
        <v>0</v>
      </c>
      <c r="AI424" s="331">
        <f t="shared" si="273"/>
        <v>0</v>
      </c>
      <c r="AJ424" s="331">
        <f t="shared" si="273"/>
        <v>0</v>
      </c>
      <c r="AK424" s="331">
        <f t="shared" si="273"/>
        <v>0</v>
      </c>
      <c r="AL424" s="331">
        <f t="shared" si="273"/>
        <v>0</v>
      </c>
      <c r="AM424" s="331">
        <f t="shared" si="273"/>
        <v>0</v>
      </c>
      <c r="AN424" s="331">
        <f t="shared" si="273"/>
        <v>0</v>
      </c>
      <c r="AO424" s="331">
        <f t="shared" si="273"/>
        <v>0</v>
      </c>
      <c r="AP424" s="331">
        <f aca="true" t="shared" si="274" ref="AP424:BA424">+($F488/$F$9)</f>
        <v>0</v>
      </c>
      <c r="AQ424" s="331">
        <f t="shared" si="274"/>
        <v>0</v>
      </c>
      <c r="AR424" s="331">
        <f t="shared" si="274"/>
        <v>0</v>
      </c>
      <c r="AS424" s="331">
        <f t="shared" si="274"/>
        <v>0</v>
      </c>
      <c r="AT424" s="331">
        <f t="shared" si="274"/>
        <v>0</v>
      </c>
      <c r="AU424" s="331">
        <f t="shared" si="274"/>
        <v>0</v>
      </c>
      <c r="AV424" s="331">
        <f t="shared" si="274"/>
        <v>0</v>
      </c>
      <c r="AW424" s="331">
        <f t="shared" si="274"/>
        <v>0</v>
      </c>
      <c r="AX424" s="331">
        <f t="shared" si="274"/>
        <v>0</v>
      </c>
      <c r="AY424" s="331">
        <f t="shared" si="274"/>
        <v>0</v>
      </c>
      <c r="AZ424" s="331">
        <f t="shared" si="274"/>
        <v>0</v>
      </c>
      <c r="BA424" s="331">
        <f t="shared" si="274"/>
        <v>0</v>
      </c>
      <c r="BB424" s="331">
        <f aca="true" t="shared" si="275" ref="BB424:BM424">+($F488/$F$9)</f>
        <v>0</v>
      </c>
      <c r="BC424" s="331">
        <f t="shared" si="275"/>
        <v>0</v>
      </c>
      <c r="BD424" s="331">
        <f t="shared" si="275"/>
        <v>0</v>
      </c>
      <c r="BE424" s="331">
        <f t="shared" si="275"/>
        <v>0</v>
      </c>
      <c r="BF424" s="331">
        <f t="shared" si="275"/>
        <v>0</v>
      </c>
      <c r="BG424" s="331">
        <f t="shared" si="275"/>
        <v>0</v>
      </c>
      <c r="BH424" s="331">
        <f t="shared" si="275"/>
        <v>0</v>
      </c>
      <c r="BI424" s="331">
        <f t="shared" si="275"/>
        <v>0</v>
      </c>
      <c r="BJ424" s="331">
        <f t="shared" si="275"/>
        <v>0</v>
      </c>
      <c r="BK424" s="331">
        <f t="shared" si="275"/>
        <v>0</v>
      </c>
      <c r="BL424" s="331">
        <f t="shared" si="275"/>
        <v>0</v>
      </c>
      <c r="BM424" s="331">
        <f t="shared" si="275"/>
        <v>0</v>
      </c>
      <c r="BN424" s="331"/>
      <c r="BO424" s="331"/>
      <c r="BP424" s="331"/>
      <c r="BQ424" s="331"/>
      <c r="BR424" s="331"/>
      <c r="BS424" s="331"/>
      <c r="BT424" s="331"/>
    </row>
    <row r="425" spans="5:73" ht="15.75">
      <c r="E425" s="416">
        <f t="shared" si="224"/>
        <v>44086</v>
      </c>
      <c r="F425" s="331"/>
      <c r="G425" s="331"/>
      <c r="H425" s="331"/>
      <c r="I425" s="331"/>
      <c r="J425" s="331"/>
      <c r="K425" s="331"/>
      <c r="L425" s="331"/>
      <c r="M425" s="331"/>
      <c r="N425" s="331"/>
      <c r="O425" s="331"/>
      <c r="P425" s="331"/>
      <c r="Q425" s="331"/>
      <c r="R425" s="331"/>
      <c r="S425" s="331"/>
      <c r="T425" s="331"/>
      <c r="U425" s="331"/>
      <c r="V425" s="331"/>
      <c r="W425" s="331"/>
      <c r="X425" s="331"/>
      <c r="Y425" s="331"/>
      <c r="Z425" s="331">
        <f aca="true" t="shared" si="276" ref="Z425:AO425">+($F489/$F$9)</f>
        <v>0</v>
      </c>
      <c r="AA425" s="331">
        <f t="shared" si="276"/>
        <v>0</v>
      </c>
      <c r="AB425" s="331">
        <f t="shared" si="276"/>
        <v>0</v>
      </c>
      <c r="AC425" s="331">
        <f t="shared" si="276"/>
        <v>0</v>
      </c>
      <c r="AD425" s="331">
        <f t="shared" si="276"/>
        <v>0</v>
      </c>
      <c r="AE425" s="331">
        <f t="shared" si="276"/>
        <v>0</v>
      </c>
      <c r="AF425" s="331">
        <f t="shared" si="276"/>
        <v>0</v>
      </c>
      <c r="AG425" s="331">
        <f t="shared" si="276"/>
        <v>0</v>
      </c>
      <c r="AH425" s="331">
        <f t="shared" si="276"/>
        <v>0</v>
      </c>
      <c r="AI425" s="331">
        <f t="shared" si="276"/>
        <v>0</v>
      </c>
      <c r="AJ425" s="331">
        <f t="shared" si="276"/>
        <v>0</v>
      </c>
      <c r="AK425" s="331">
        <f t="shared" si="276"/>
        <v>0</v>
      </c>
      <c r="AL425" s="331">
        <f t="shared" si="276"/>
        <v>0</v>
      </c>
      <c r="AM425" s="331">
        <f t="shared" si="276"/>
        <v>0</v>
      </c>
      <c r="AN425" s="331">
        <f t="shared" si="276"/>
        <v>0</v>
      </c>
      <c r="AO425" s="331">
        <f t="shared" si="276"/>
        <v>0</v>
      </c>
      <c r="AP425" s="331">
        <f aca="true" t="shared" si="277" ref="AP425:BA425">+($F489/$F$9)</f>
        <v>0</v>
      </c>
      <c r="AQ425" s="331">
        <f t="shared" si="277"/>
        <v>0</v>
      </c>
      <c r="AR425" s="331">
        <f t="shared" si="277"/>
        <v>0</v>
      </c>
      <c r="AS425" s="331">
        <f t="shared" si="277"/>
        <v>0</v>
      </c>
      <c r="AT425" s="331">
        <f t="shared" si="277"/>
        <v>0</v>
      </c>
      <c r="AU425" s="331">
        <f t="shared" si="277"/>
        <v>0</v>
      </c>
      <c r="AV425" s="331">
        <f t="shared" si="277"/>
        <v>0</v>
      </c>
      <c r="AW425" s="331">
        <f t="shared" si="277"/>
        <v>0</v>
      </c>
      <c r="AX425" s="331">
        <f t="shared" si="277"/>
        <v>0</v>
      </c>
      <c r="AY425" s="331">
        <f t="shared" si="277"/>
        <v>0</v>
      </c>
      <c r="AZ425" s="331">
        <f t="shared" si="277"/>
        <v>0</v>
      </c>
      <c r="BA425" s="331">
        <f t="shared" si="277"/>
        <v>0</v>
      </c>
      <c r="BB425" s="331">
        <f aca="true" t="shared" si="278" ref="BB425:BM425">+($F489/$F$9)</f>
        <v>0</v>
      </c>
      <c r="BC425" s="331">
        <f t="shared" si="278"/>
        <v>0</v>
      </c>
      <c r="BD425" s="331">
        <f t="shared" si="278"/>
        <v>0</v>
      </c>
      <c r="BE425" s="331">
        <f t="shared" si="278"/>
        <v>0</v>
      </c>
      <c r="BF425" s="331">
        <f t="shared" si="278"/>
        <v>0</v>
      </c>
      <c r="BG425" s="331">
        <f t="shared" si="278"/>
        <v>0</v>
      </c>
      <c r="BH425" s="331">
        <f t="shared" si="278"/>
        <v>0</v>
      </c>
      <c r="BI425" s="331">
        <f t="shared" si="278"/>
        <v>0</v>
      </c>
      <c r="BJ425" s="331">
        <f t="shared" si="278"/>
        <v>0</v>
      </c>
      <c r="BK425" s="331">
        <f t="shared" si="278"/>
        <v>0</v>
      </c>
      <c r="BL425" s="331">
        <f t="shared" si="278"/>
        <v>0</v>
      </c>
      <c r="BM425" s="331">
        <f t="shared" si="278"/>
        <v>0</v>
      </c>
      <c r="BN425" s="331"/>
      <c r="BO425" s="331"/>
      <c r="BP425" s="331"/>
      <c r="BQ425" s="331"/>
      <c r="BR425" s="331"/>
      <c r="BS425" s="331"/>
      <c r="BT425" s="331"/>
      <c r="BU425" s="331"/>
    </row>
    <row r="426" spans="5:74" ht="15.75">
      <c r="E426" s="416">
        <f t="shared" si="224"/>
        <v>44117</v>
      </c>
      <c r="F426" s="331"/>
      <c r="G426" s="331"/>
      <c r="H426" s="331"/>
      <c r="I426" s="331"/>
      <c r="J426" s="331"/>
      <c r="K426" s="331"/>
      <c r="L426" s="331"/>
      <c r="M426" s="331"/>
      <c r="N426" s="331"/>
      <c r="O426" s="331"/>
      <c r="P426" s="331"/>
      <c r="Q426" s="331"/>
      <c r="R426" s="331"/>
      <c r="S426" s="331"/>
      <c r="T426" s="331"/>
      <c r="U426" s="331"/>
      <c r="V426" s="331"/>
      <c r="W426" s="331"/>
      <c r="X426" s="331"/>
      <c r="Y426" s="331"/>
      <c r="Z426" s="331"/>
      <c r="AA426" s="331">
        <f aca="true" t="shared" si="279" ref="AA426:AO426">+($F490/$F$9)</f>
        <v>0</v>
      </c>
      <c r="AB426" s="331">
        <f t="shared" si="279"/>
        <v>0</v>
      </c>
      <c r="AC426" s="331">
        <f t="shared" si="279"/>
        <v>0</v>
      </c>
      <c r="AD426" s="331">
        <f t="shared" si="279"/>
        <v>0</v>
      </c>
      <c r="AE426" s="331">
        <f t="shared" si="279"/>
        <v>0</v>
      </c>
      <c r="AF426" s="331">
        <f t="shared" si="279"/>
        <v>0</v>
      </c>
      <c r="AG426" s="331">
        <f t="shared" si="279"/>
        <v>0</v>
      </c>
      <c r="AH426" s="331">
        <f t="shared" si="279"/>
        <v>0</v>
      </c>
      <c r="AI426" s="331">
        <f t="shared" si="279"/>
        <v>0</v>
      </c>
      <c r="AJ426" s="331">
        <f t="shared" si="279"/>
        <v>0</v>
      </c>
      <c r="AK426" s="331">
        <f t="shared" si="279"/>
        <v>0</v>
      </c>
      <c r="AL426" s="331">
        <f t="shared" si="279"/>
        <v>0</v>
      </c>
      <c r="AM426" s="331">
        <f t="shared" si="279"/>
        <v>0</v>
      </c>
      <c r="AN426" s="331">
        <f t="shared" si="279"/>
        <v>0</v>
      </c>
      <c r="AO426" s="331">
        <f t="shared" si="279"/>
        <v>0</v>
      </c>
      <c r="AP426" s="331">
        <f aca="true" t="shared" si="280" ref="AP426:BA426">+($F490/$F$9)</f>
        <v>0</v>
      </c>
      <c r="AQ426" s="331">
        <f t="shared" si="280"/>
        <v>0</v>
      </c>
      <c r="AR426" s="331">
        <f t="shared" si="280"/>
        <v>0</v>
      </c>
      <c r="AS426" s="331">
        <f t="shared" si="280"/>
        <v>0</v>
      </c>
      <c r="AT426" s="331">
        <f t="shared" si="280"/>
        <v>0</v>
      </c>
      <c r="AU426" s="331">
        <f t="shared" si="280"/>
        <v>0</v>
      </c>
      <c r="AV426" s="331">
        <f t="shared" si="280"/>
        <v>0</v>
      </c>
      <c r="AW426" s="331">
        <f t="shared" si="280"/>
        <v>0</v>
      </c>
      <c r="AX426" s="331">
        <f t="shared" si="280"/>
        <v>0</v>
      </c>
      <c r="AY426" s="331">
        <f t="shared" si="280"/>
        <v>0</v>
      </c>
      <c r="AZ426" s="331">
        <f t="shared" si="280"/>
        <v>0</v>
      </c>
      <c r="BA426" s="331">
        <f t="shared" si="280"/>
        <v>0</v>
      </c>
      <c r="BB426" s="331">
        <f aca="true" t="shared" si="281" ref="BB426:BM426">+($F490/$F$9)</f>
        <v>0</v>
      </c>
      <c r="BC426" s="331">
        <f t="shared" si="281"/>
        <v>0</v>
      </c>
      <c r="BD426" s="331">
        <f t="shared" si="281"/>
        <v>0</v>
      </c>
      <c r="BE426" s="331">
        <f t="shared" si="281"/>
        <v>0</v>
      </c>
      <c r="BF426" s="331">
        <f t="shared" si="281"/>
        <v>0</v>
      </c>
      <c r="BG426" s="331">
        <f t="shared" si="281"/>
        <v>0</v>
      </c>
      <c r="BH426" s="331">
        <f t="shared" si="281"/>
        <v>0</v>
      </c>
      <c r="BI426" s="331">
        <f t="shared" si="281"/>
        <v>0</v>
      </c>
      <c r="BJ426" s="331">
        <f t="shared" si="281"/>
        <v>0</v>
      </c>
      <c r="BK426" s="331">
        <f t="shared" si="281"/>
        <v>0</v>
      </c>
      <c r="BL426" s="331">
        <f t="shared" si="281"/>
        <v>0</v>
      </c>
      <c r="BM426" s="331">
        <f t="shared" si="281"/>
        <v>0</v>
      </c>
      <c r="BN426" s="331"/>
      <c r="BO426" s="331"/>
      <c r="BP426" s="331"/>
      <c r="BQ426" s="331"/>
      <c r="BR426" s="331"/>
      <c r="BS426" s="331"/>
      <c r="BT426" s="331"/>
      <c r="BU426" s="331"/>
      <c r="BV426" s="331"/>
    </row>
    <row r="427" spans="5:75" ht="15.75">
      <c r="E427" s="416">
        <f t="shared" si="224"/>
        <v>44148</v>
      </c>
      <c r="F427" s="331"/>
      <c r="G427" s="331"/>
      <c r="H427" s="331"/>
      <c r="I427" s="331"/>
      <c r="J427" s="331"/>
      <c r="K427" s="331"/>
      <c r="L427" s="331"/>
      <c r="M427" s="331"/>
      <c r="N427" s="331"/>
      <c r="O427" s="331"/>
      <c r="P427" s="331"/>
      <c r="Q427" s="331"/>
      <c r="R427" s="331"/>
      <c r="S427" s="331"/>
      <c r="T427" s="331"/>
      <c r="U427" s="331"/>
      <c r="V427" s="331"/>
      <c r="W427" s="331"/>
      <c r="X427" s="331"/>
      <c r="Y427" s="331"/>
      <c r="Z427" s="331"/>
      <c r="AA427" s="331"/>
      <c r="AB427" s="331">
        <f aca="true" t="shared" si="282" ref="AB427:AO427">+($F491/$F$9)</f>
        <v>0</v>
      </c>
      <c r="AC427" s="331">
        <f t="shared" si="282"/>
        <v>0</v>
      </c>
      <c r="AD427" s="331">
        <f t="shared" si="282"/>
        <v>0</v>
      </c>
      <c r="AE427" s="331">
        <f t="shared" si="282"/>
        <v>0</v>
      </c>
      <c r="AF427" s="331">
        <f t="shared" si="282"/>
        <v>0</v>
      </c>
      <c r="AG427" s="331">
        <f t="shared" si="282"/>
        <v>0</v>
      </c>
      <c r="AH427" s="331">
        <f t="shared" si="282"/>
        <v>0</v>
      </c>
      <c r="AI427" s="331">
        <f t="shared" si="282"/>
        <v>0</v>
      </c>
      <c r="AJ427" s="331">
        <f t="shared" si="282"/>
        <v>0</v>
      </c>
      <c r="AK427" s="331">
        <f t="shared" si="282"/>
        <v>0</v>
      </c>
      <c r="AL427" s="331">
        <f t="shared" si="282"/>
        <v>0</v>
      </c>
      <c r="AM427" s="331">
        <f t="shared" si="282"/>
        <v>0</v>
      </c>
      <c r="AN427" s="331">
        <f t="shared" si="282"/>
        <v>0</v>
      </c>
      <c r="AO427" s="331">
        <f t="shared" si="282"/>
        <v>0</v>
      </c>
      <c r="AP427" s="331">
        <f aca="true" t="shared" si="283" ref="AP427:BA427">+($F491/$F$9)</f>
        <v>0</v>
      </c>
      <c r="AQ427" s="331">
        <f t="shared" si="283"/>
        <v>0</v>
      </c>
      <c r="AR427" s="331">
        <f t="shared" si="283"/>
        <v>0</v>
      </c>
      <c r="AS427" s="331">
        <f t="shared" si="283"/>
        <v>0</v>
      </c>
      <c r="AT427" s="331">
        <f t="shared" si="283"/>
        <v>0</v>
      </c>
      <c r="AU427" s="331">
        <f t="shared" si="283"/>
        <v>0</v>
      </c>
      <c r="AV427" s="331">
        <f t="shared" si="283"/>
        <v>0</v>
      </c>
      <c r="AW427" s="331">
        <f t="shared" si="283"/>
        <v>0</v>
      </c>
      <c r="AX427" s="331">
        <f t="shared" si="283"/>
        <v>0</v>
      </c>
      <c r="AY427" s="331">
        <f t="shared" si="283"/>
        <v>0</v>
      </c>
      <c r="AZ427" s="331">
        <f t="shared" si="283"/>
        <v>0</v>
      </c>
      <c r="BA427" s="331">
        <f t="shared" si="283"/>
        <v>0</v>
      </c>
      <c r="BB427" s="331">
        <f aca="true" t="shared" si="284" ref="BB427:BM427">+($F491/$F$9)</f>
        <v>0</v>
      </c>
      <c r="BC427" s="331">
        <f t="shared" si="284"/>
        <v>0</v>
      </c>
      <c r="BD427" s="331">
        <f t="shared" si="284"/>
        <v>0</v>
      </c>
      <c r="BE427" s="331">
        <f t="shared" si="284"/>
        <v>0</v>
      </c>
      <c r="BF427" s="331">
        <f t="shared" si="284"/>
        <v>0</v>
      </c>
      <c r="BG427" s="331">
        <f t="shared" si="284"/>
        <v>0</v>
      </c>
      <c r="BH427" s="331">
        <f t="shared" si="284"/>
        <v>0</v>
      </c>
      <c r="BI427" s="331">
        <f t="shared" si="284"/>
        <v>0</v>
      </c>
      <c r="BJ427" s="331">
        <f t="shared" si="284"/>
        <v>0</v>
      </c>
      <c r="BK427" s="331">
        <f t="shared" si="284"/>
        <v>0</v>
      </c>
      <c r="BL427" s="331">
        <f t="shared" si="284"/>
        <v>0</v>
      </c>
      <c r="BM427" s="331">
        <f t="shared" si="284"/>
        <v>0</v>
      </c>
      <c r="BN427" s="331"/>
      <c r="BO427" s="331"/>
      <c r="BP427" s="331"/>
      <c r="BQ427" s="331"/>
      <c r="BR427" s="331"/>
      <c r="BS427" s="331"/>
      <c r="BT427" s="331"/>
      <c r="BU427" s="331"/>
      <c r="BV427" s="331"/>
      <c r="BW427" s="331"/>
    </row>
    <row r="428" spans="5:76" ht="15.75">
      <c r="E428" s="416">
        <f t="shared" si="224"/>
        <v>44179</v>
      </c>
      <c r="F428" s="331"/>
      <c r="G428" s="331"/>
      <c r="H428" s="331"/>
      <c r="I428" s="331"/>
      <c r="J428" s="331"/>
      <c r="K428" s="331"/>
      <c r="L428" s="331"/>
      <c r="M428" s="331"/>
      <c r="N428" s="331"/>
      <c r="O428" s="331"/>
      <c r="P428" s="331"/>
      <c r="Q428" s="331"/>
      <c r="R428" s="331"/>
      <c r="S428" s="331"/>
      <c r="T428" s="331"/>
      <c r="U428" s="331"/>
      <c r="V428" s="331"/>
      <c r="W428" s="331"/>
      <c r="X428" s="331"/>
      <c r="Y428" s="331"/>
      <c r="Z428" s="331"/>
      <c r="AA428" s="331"/>
      <c r="AB428" s="331"/>
      <c r="AC428" s="331">
        <f aca="true" t="shared" si="285" ref="AC428:AO428">+($F492/$F$9)</f>
        <v>0</v>
      </c>
      <c r="AD428" s="331">
        <f t="shared" si="285"/>
        <v>0</v>
      </c>
      <c r="AE428" s="331">
        <f t="shared" si="285"/>
        <v>0</v>
      </c>
      <c r="AF428" s="331">
        <f t="shared" si="285"/>
        <v>0</v>
      </c>
      <c r="AG428" s="331">
        <f t="shared" si="285"/>
        <v>0</v>
      </c>
      <c r="AH428" s="331">
        <f t="shared" si="285"/>
        <v>0</v>
      </c>
      <c r="AI428" s="331">
        <f t="shared" si="285"/>
        <v>0</v>
      </c>
      <c r="AJ428" s="331">
        <f t="shared" si="285"/>
        <v>0</v>
      </c>
      <c r="AK428" s="331">
        <f t="shared" si="285"/>
        <v>0</v>
      </c>
      <c r="AL428" s="331">
        <f t="shared" si="285"/>
        <v>0</v>
      </c>
      <c r="AM428" s="331">
        <f t="shared" si="285"/>
        <v>0</v>
      </c>
      <c r="AN428" s="331">
        <f t="shared" si="285"/>
        <v>0</v>
      </c>
      <c r="AO428" s="331">
        <f t="shared" si="285"/>
        <v>0</v>
      </c>
      <c r="AP428" s="331">
        <f aca="true" t="shared" si="286" ref="AP428:BA428">+($F492/$F$9)</f>
        <v>0</v>
      </c>
      <c r="AQ428" s="331">
        <f t="shared" si="286"/>
        <v>0</v>
      </c>
      <c r="AR428" s="331">
        <f t="shared" si="286"/>
        <v>0</v>
      </c>
      <c r="AS428" s="331">
        <f t="shared" si="286"/>
        <v>0</v>
      </c>
      <c r="AT428" s="331">
        <f t="shared" si="286"/>
        <v>0</v>
      </c>
      <c r="AU428" s="331">
        <f t="shared" si="286"/>
        <v>0</v>
      </c>
      <c r="AV428" s="331">
        <f t="shared" si="286"/>
        <v>0</v>
      </c>
      <c r="AW428" s="331">
        <f t="shared" si="286"/>
        <v>0</v>
      </c>
      <c r="AX428" s="331">
        <f t="shared" si="286"/>
        <v>0</v>
      </c>
      <c r="AY428" s="331">
        <f t="shared" si="286"/>
        <v>0</v>
      </c>
      <c r="AZ428" s="331">
        <f t="shared" si="286"/>
        <v>0</v>
      </c>
      <c r="BA428" s="331">
        <f t="shared" si="286"/>
        <v>0</v>
      </c>
      <c r="BB428" s="331">
        <f aca="true" t="shared" si="287" ref="BB428:BM428">+($F492/$F$9)</f>
        <v>0</v>
      </c>
      <c r="BC428" s="331">
        <f t="shared" si="287"/>
        <v>0</v>
      </c>
      <c r="BD428" s="331">
        <f t="shared" si="287"/>
        <v>0</v>
      </c>
      <c r="BE428" s="331">
        <f t="shared" si="287"/>
        <v>0</v>
      </c>
      <c r="BF428" s="331">
        <f t="shared" si="287"/>
        <v>0</v>
      </c>
      <c r="BG428" s="331">
        <f t="shared" si="287"/>
        <v>0</v>
      </c>
      <c r="BH428" s="331">
        <f t="shared" si="287"/>
        <v>0</v>
      </c>
      <c r="BI428" s="331">
        <f t="shared" si="287"/>
        <v>0</v>
      </c>
      <c r="BJ428" s="331">
        <f t="shared" si="287"/>
        <v>0</v>
      </c>
      <c r="BK428" s="331">
        <f t="shared" si="287"/>
        <v>0</v>
      </c>
      <c r="BL428" s="331">
        <f t="shared" si="287"/>
        <v>0</v>
      </c>
      <c r="BM428" s="331">
        <f t="shared" si="287"/>
        <v>0</v>
      </c>
      <c r="BN428" s="331"/>
      <c r="BO428" s="331"/>
      <c r="BP428" s="331"/>
      <c r="BQ428" s="331"/>
      <c r="BR428" s="331"/>
      <c r="BS428" s="331"/>
      <c r="BT428" s="331"/>
      <c r="BU428" s="331"/>
      <c r="BV428" s="331"/>
      <c r="BW428" s="331"/>
      <c r="BX428" s="331"/>
    </row>
    <row r="429" spans="5:77" ht="15.75">
      <c r="E429" s="416">
        <f t="shared" si="224"/>
        <v>44210</v>
      </c>
      <c r="F429" s="331"/>
      <c r="K429" s="331"/>
      <c r="M429" s="331"/>
      <c r="Y429" s="331"/>
      <c r="Z429" s="331"/>
      <c r="AA429" s="331"/>
      <c r="AB429" s="331"/>
      <c r="AC429" s="331"/>
      <c r="AD429" s="331">
        <f aca="true" t="shared" si="288" ref="AD429:AO429">+($F493/$F$9)</f>
        <v>0</v>
      </c>
      <c r="AE429" s="331">
        <f t="shared" si="288"/>
        <v>0</v>
      </c>
      <c r="AF429" s="331">
        <f t="shared" si="288"/>
        <v>0</v>
      </c>
      <c r="AG429" s="331">
        <f t="shared" si="288"/>
        <v>0</v>
      </c>
      <c r="AH429" s="331">
        <f t="shared" si="288"/>
        <v>0</v>
      </c>
      <c r="AI429" s="331">
        <f t="shared" si="288"/>
        <v>0</v>
      </c>
      <c r="AJ429" s="331">
        <f t="shared" si="288"/>
        <v>0</v>
      </c>
      <c r="AK429" s="331">
        <f t="shared" si="288"/>
        <v>0</v>
      </c>
      <c r="AL429" s="331">
        <f t="shared" si="288"/>
        <v>0</v>
      </c>
      <c r="AM429" s="331">
        <f t="shared" si="288"/>
        <v>0</v>
      </c>
      <c r="AN429" s="331">
        <f t="shared" si="288"/>
        <v>0</v>
      </c>
      <c r="AO429" s="331">
        <f t="shared" si="288"/>
        <v>0</v>
      </c>
      <c r="AP429" s="331">
        <f aca="true" t="shared" si="289" ref="AP429:BA429">+($F493/$F$9)</f>
        <v>0</v>
      </c>
      <c r="AQ429" s="331">
        <f t="shared" si="289"/>
        <v>0</v>
      </c>
      <c r="AR429" s="331">
        <f t="shared" si="289"/>
        <v>0</v>
      </c>
      <c r="AS429" s="331">
        <f t="shared" si="289"/>
        <v>0</v>
      </c>
      <c r="AT429" s="331">
        <f t="shared" si="289"/>
        <v>0</v>
      </c>
      <c r="AU429" s="331">
        <f t="shared" si="289"/>
        <v>0</v>
      </c>
      <c r="AV429" s="331">
        <f t="shared" si="289"/>
        <v>0</v>
      </c>
      <c r="AW429" s="331">
        <f t="shared" si="289"/>
        <v>0</v>
      </c>
      <c r="AX429" s="331">
        <f t="shared" si="289"/>
        <v>0</v>
      </c>
      <c r="AY429" s="331">
        <f t="shared" si="289"/>
        <v>0</v>
      </c>
      <c r="AZ429" s="331">
        <f t="shared" si="289"/>
        <v>0</v>
      </c>
      <c r="BA429" s="331">
        <f t="shared" si="289"/>
        <v>0</v>
      </c>
      <c r="BB429" s="331">
        <f aca="true" t="shared" si="290" ref="BB429:BM429">+($F493/$F$9)</f>
        <v>0</v>
      </c>
      <c r="BC429" s="331">
        <f t="shared" si="290"/>
        <v>0</v>
      </c>
      <c r="BD429" s="331">
        <f t="shared" si="290"/>
        <v>0</v>
      </c>
      <c r="BE429" s="331">
        <f t="shared" si="290"/>
        <v>0</v>
      </c>
      <c r="BF429" s="331">
        <f t="shared" si="290"/>
        <v>0</v>
      </c>
      <c r="BG429" s="331">
        <f t="shared" si="290"/>
        <v>0</v>
      </c>
      <c r="BH429" s="331">
        <f t="shared" si="290"/>
        <v>0</v>
      </c>
      <c r="BI429" s="331">
        <f t="shared" si="290"/>
        <v>0</v>
      </c>
      <c r="BJ429" s="331">
        <f t="shared" si="290"/>
        <v>0</v>
      </c>
      <c r="BK429" s="331">
        <f t="shared" si="290"/>
        <v>0</v>
      </c>
      <c r="BL429" s="331">
        <f t="shared" si="290"/>
        <v>0</v>
      </c>
      <c r="BM429" s="331">
        <f t="shared" si="290"/>
        <v>0</v>
      </c>
      <c r="BN429" s="331"/>
      <c r="BO429" s="331"/>
      <c r="BP429" s="331"/>
      <c r="BQ429" s="331"/>
      <c r="BR429" s="331"/>
      <c r="BS429" s="331"/>
      <c r="BT429" s="331"/>
      <c r="BU429" s="331"/>
      <c r="BV429" s="331"/>
      <c r="BW429" s="331"/>
      <c r="BX429" s="331"/>
      <c r="BY429" s="331"/>
    </row>
    <row r="430" spans="5:78" ht="15.75">
      <c r="E430" s="416">
        <f t="shared" si="224"/>
        <v>44241</v>
      </c>
      <c r="F430" s="331"/>
      <c r="K430" s="331"/>
      <c r="M430" s="331"/>
      <c r="Y430" s="331"/>
      <c r="Z430" s="331"/>
      <c r="AA430" s="331"/>
      <c r="AB430" s="331"/>
      <c r="AC430" s="331"/>
      <c r="AD430" s="331"/>
      <c r="AE430" s="331">
        <f aca="true" t="shared" si="291" ref="AE430:AO430">+($F494/$F$9)</f>
        <v>0</v>
      </c>
      <c r="AF430" s="331">
        <f t="shared" si="291"/>
        <v>0</v>
      </c>
      <c r="AG430" s="331">
        <f t="shared" si="291"/>
        <v>0</v>
      </c>
      <c r="AH430" s="331">
        <f t="shared" si="291"/>
        <v>0</v>
      </c>
      <c r="AI430" s="331">
        <f t="shared" si="291"/>
        <v>0</v>
      </c>
      <c r="AJ430" s="331">
        <f t="shared" si="291"/>
        <v>0</v>
      </c>
      <c r="AK430" s="331">
        <f t="shared" si="291"/>
        <v>0</v>
      </c>
      <c r="AL430" s="331">
        <f t="shared" si="291"/>
        <v>0</v>
      </c>
      <c r="AM430" s="331">
        <f t="shared" si="291"/>
        <v>0</v>
      </c>
      <c r="AN430" s="331">
        <f t="shared" si="291"/>
        <v>0</v>
      </c>
      <c r="AO430" s="331">
        <f t="shared" si="291"/>
        <v>0</v>
      </c>
      <c r="AP430" s="331">
        <f aca="true" t="shared" si="292" ref="AP430:BA430">+($F494/$F$9)</f>
        <v>0</v>
      </c>
      <c r="AQ430" s="331">
        <f t="shared" si="292"/>
        <v>0</v>
      </c>
      <c r="AR430" s="331">
        <f t="shared" si="292"/>
        <v>0</v>
      </c>
      <c r="AS430" s="331">
        <f t="shared" si="292"/>
        <v>0</v>
      </c>
      <c r="AT430" s="331">
        <f t="shared" si="292"/>
        <v>0</v>
      </c>
      <c r="AU430" s="331">
        <f t="shared" si="292"/>
        <v>0</v>
      </c>
      <c r="AV430" s="331">
        <f t="shared" si="292"/>
        <v>0</v>
      </c>
      <c r="AW430" s="331">
        <f t="shared" si="292"/>
        <v>0</v>
      </c>
      <c r="AX430" s="331">
        <f t="shared" si="292"/>
        <v>0</v>
      </c>
      <c r="AY430" s="331">
        <f t="shared" si="292"/>
        <v>0</v>
      </c>
      <c r="AZ430" s="331">
        <f t="shared" si="292"/>
        <v>0</v>
      </c>
      <c r="BA430" s="331">
        <f t="shared" si="292"/>
        <v>0</v>
      </c>
      <c r="BB430" s="331">
        <f aca="true" t="shared" si="293" ref="BB430:BM430">+($F494/$F$9)</f>
        <v>0</v>
      </c>
      <c r="BC430" s="331">
        <f t="shared" si="293"/>
        <v>0</v>
      </c>
      <c r="BD430" s="331">
        <f t="shared" si="293"/>
        <v>0</v>
      </c>
      <c r="BE430" s="331">
        <f t="shared" si="293"/>
        <v>0</v>
      </c>
      <c r="BF430" s="331">
        <f t="shared" si="293"/>
        <v>0</v>
      </c>
      <c r="BG430" s="331">
        <f t="shared" si="293"/>
        <v>0</v>
      </c>
      <c r="BH430" s="331">
        <f t="shared" si="293"/>
        <v>0</v>
      </c>
      <c r="BI430" s="331">
        <f t="shared" si="293"/>
        <v>0</v>
      </c>
      <c r="BJ430" s="331">
        <f t="shared" si="293"/>
        <v>0</v>
      </c>
      <c r="BK430" s="331">
        <f t="shared" si="293"/>
        <v>0</v>
      </c>
      <c r="BL430" s="331">
        <f t="shared" si="293"/>
        <v>0</v>
      </c>
      <c r="BM430" s="331">
        <f t="shared" si="293"/>
        <v>0</v>
      </c>
      <c r="BN430" s="331"/>
      <c r="BO430" s="331"/>
      <c r="BP430" s="331"/>
      <c r="BQ430" s="331"/>
      <c r="BR430" s="331"/>
      <c r="BS430" s="331"/>
      <c r="BT430" s="331"/>
      <c r="BU430" s="331"/>
      <c r="BV430" s="331"/>
      <c r="BW430" s="331"/>
      <c r="BX430" s="331"/>
      <c r="BY430" s="331"/>
      <c r="BZ430" s="331"/>
    </row>
    <row r="431" spans="5:79" ht="15.75">
      <c r="E431" s="416">
        <f t="shared" si="224"/>
        <v>44272</v>
      </c>
      <c r="F431" s="331"/>
      <c r="K431" s="331"/>
      <c r="M431" s="331"/>
      <c r="Y431" s="331"/>
      <c r="Z431" s="331"/>
      <c r="AA431" s="331"/>
      <c r="AB431" s="331"/>
      <c r="AC431" s="331"/>
      <c r="AD431" s="331"/>
      <c r="AE431" s="331"/>
      <c r="AF431" s="331">
        <f aca="true" t="shared" si="294" ref="AF431:AO431">+($F495/$F$9)</f>
        <v>0</v>
      </c>
      <c r="AG431" s="331">
        <f t="shared" si="294"/>
        <v>0</v>
      </c>
      <c r="AH431" s="331">
        <f t="shared" si="294"/>
        <v>0</v>
      </c>
      <c r="AI431" s="331">
        <f t="shared" si="294"/>
        <v>0</v>
      </c>
      <c r="AJ431" s="331">
        <f t="shared" si="294"/>
        <v>0</v>
      </c>
      <c r="AK431" s="331">
        <f t="shared" si="294"/>
        <v>0</v>
      </c>
      <c r="AL431" s="331">
        <f t="shared" si="294"/>
        <v>0</v>
      </c>
      <c r="AM431" s="331">
        <f t="shared" si="294"/>
        <v>0</v>
      </c>
      <c r="AN431" s="331">
        <f t="shared" si="294"/>
        <v>0</v>
      </c>
      <c r="AO431" s="331">
        <f t="shared" si="294"/>
        <v>0</v>
      </c>
      <c r="AP431" s="331">
        <f aca="true" t="shared" si="295" ref="AP431:BA431">+($F495/$F$9)</f>
        <v>0</v>
      </c>
      <c r="AQ431" s="331">
        <f t="shared" si="295"/>
        <v>0</v>
      </c>
      <c r="AR431" s="331">
        <f t="shared" si="295"/>
        <v>0</v>
      </c>
      <c r="AS431" s="331">
        <f t="shared" si="295"/>
        <v>0</v>
      </c>
      <c r="AT431" s="331">
        <f t="shared" si="295"/>
        <v>0</v>
      </c>
      <c r="AU431" s="331">
        <f t="shared" si="295"/>
        <v>0</v>
      </c>
      <c r="AV431" s="331">
        <f t="shared" si="295"/>
        <v>0</v>
      </c>
      <c r="AW431" s="331">
        <f t="shared" si="295"/>
        <v>0</v>
      </c>
      <c r="AX431" s="331">
        <f t="shared" si="295"/>
        <v>0</v>
      </c>
      <c r="AY431" s="331">
        <f t="shared" si="295"/>
        <v>0</v>
      </c>
      <c r="AZ431" s="331">
        <f t="shared" si="295"/>
        <v>0</v>
      </c>
      <c r="BA431" s="331">
        <f t="shared" si="295"/>
        <v>0</v>
      </c>
      <c r="BB431" s="331">
        <f aca="true" t="shared" si="296" ref="BB431:BM431">+($F495/$F$9)</f>
        <v>0</v>
      </c>
      <c r="BC431" s="331">
        <f t="shared" si="296"/>
        <v>0</v>
      </c>
      <c r="BD431" s="331">
        <f t="shared" si="296"/>
        <v>0</v>
      </c>
      <c r="BE431" s="331">
        <f t="shared" si="296"/>
        <v>0</v>
      </c>
      <c r="BF431" s="331">
        <f t="shared" si="296"/>
        <v>0</v>
      </c>
      <c r="BG431" s="331">
        <f t="shared" si="296"/>
        <v>0</v>
      </c>
      <c r="BH431" s="331">
        <f t="shared" si="296"/>
        <v>0</v>
      </c>
      <c r="BI431" s="331">
        <f t="shared" si="296"/>
        <v>0</v>
      </c>
      <c r="BJ431" s="331">
        <f t="shared" si="296"/>
        <v>0</v>
      </c>
      <c r="BK431" s="331">
        <f t="shared" si="296"/>
        <v>0</v>
      </c>
      <c r="BL431" s="331">
        <f t="shared" si="296"/>
        <v>0</v>
      </c>
      <c r="BM431" s="331">
        <f t="shared" si="296"/>
        <v>0</v>
      </c>
      <c r="BN431" s="331"/>
      <c r="BO431" s="331"/>
      <c r="BP431" s="331"/>
      <c r="BQ431" s="331"/>
      <c r="BR431" s="331"/>
      <c r="BS431" s="331"/>
      <c r="BT431" s="331"/>
      <c r="BU431" s="331"/>
      <c r="BV431" s="331"/>
      <c r="BW431" s="331"/>
      <c r="BX431" s="331"/>
      <c r="BY431" s="331"/>
      <c r="BZ431" s="331"/>
      <c r="CA431" s="331"/>
    </row>
    <row r="432" spans="5:80" ht="15.75">
      <c r="E432" s="416">
        <f t="shared" si="224"/>
        <v>44303</v>
      </c>
      <c r="F432" s="331"/>
      <c r="K432" s="331"/>
      <c r="M432" s="331"/>
      <c r="Y432" s="331"/>
      <c r="Z432" s="331"/>
      <c r="AA432" s="331"/>
      <c r="AB432" s="331"/>
      <c r="AC432" s="331"/>
      <c r="AD432" s="331"/>
      <c r="AE432" s="331"/>
      <c r="AF432" s="331"/>
      <c r="AG432" s="331">
        <f aca="true" t="shared" si="297" ref="AG432:AO432">+($F496/$F$9)</f>
        <v>0</v>
      </c>
      <c r="AH432" s="331">
        <f t="shared" si="297"/>
        <v>0</v>
      </c>
      <c r="AI432" s="331">
        <f t="shared" si="297"/>
        <v>0</v>
      </c>
      <c r="AJ432" s="331">
        <f t="shared" si="297"/>
        <v>0</v>
      </c>
      <c r="AK432" s="331">
        <f t="shared" si="297"/>
        <v>0</v>
      </c>
      <c r="AL432" s="331">
        <f t="shared" si="297"/>
        <v>0</v>
      </c>
      <c r="AM432" s="331">
        <f t="shared" si="297"/>
        <v>0</v>
      </c>
      <c r="AN432" s="331">
        <f t="shared" si="297"/>
        <v>0</v>
      </c>
      <c r="AO432" s="331">
        <f t="shared" si="297"/>
        <v>0</v>
      </c>
      <c r="AP432" s="331">
        <f aca="true" t="shared" si="298" ref="AP432:BA432">+($F496/$F$9)</f>
        <v>0</v>
      </c>
      <c r="AQ432" s="331">
        <f t="shared" si="298"/>
        <v>0</v>
      </c>
      <c r="AR432" s="331">
        <f t="shared" si="298"/>
        <v>0</v>
      </c>
      <c r="AS432" s="331">
        <f t="shared" si="298"/>
        <v>0</v>
      </c>
      <c r="AT432" s="331">
        <f t="shared" si="298"/>
        <v>0</v>
      </c>
      <c r="AU432" s="331">
        <f t="shared" si="298"/>
        <v>0</v>
      </c>
      <c r="AV432" s="331">
        <f t="shared" si="298"/>
        <v>0</v>
      </c>
      <c r="AW432" s="331">
        <f t="shared" si="298"/>
        <v>0</v>
      </c>
      <c r="AX432" s="331">
        <f t="shared" si="298"/>
        <v>0</v>
      </c>
      <c r="AY432" s="331">
        <f t="shared" si="298"/>
        <v>0</v>
      </c>
      <c r="AZ432" s="331">
        <f t="shared" si="298"/>
        <v>0</v>
      </c>
      <c r="BA432" s="331">
        <f t="shared" si="298"/>
        <v>0</v>
      </c>
      <c r="BB432" s="331">
        <f aca="true" t="shared" si="299" ref="BB432:BM432">+($F496/$F$9)</f>
        <v>0</v>
      </c>
      <c r="BC432" s="331">
        <f t="shared" si="299"/>
        <v>0</v>
      </c>
      <c r="BD432" s="331">
        <f t="shared" si="299"/>
        <v>0</v>
      </c>
      <c r="BE432" s="331">
        <f t="shared" si="299"/>
        <v>0</v>
      </c>
      <c r="BF432" s="331">
        <f t="shared" si="299"/>
        <v>0</v>
      </c>
      <c r="BG432" s="331">
        <f t="shared" si="299"/>
        <v>0</v>
      </c>
      <c r="BH432" s="331">
        <f t="shared" si="299"/>
        <v>0</v>
      </c>
      <c r="BI432" s="331">
        <f t="shared" si="299"/>
        <v>0</v>
      </c>
      <c r="BJ432" s="331">
        <f t="shared" si="299"/>
        <v>0</v>
      </c>
      <c r="BK432" s="331">
        <f t="shared" si="299"/>
        <v>0</v>
      </c>
      <c r="BL432" s="331">
        <f t="shared" si="299"/>
        <v>0</v>
      </c>
      <c r="BM432" s="331">
        <f t="shared" si="299"/>
        <v>0</v>
      </c>
      <c r="BN432" s="331"/>
      <c r="BO432" s="331"/>
      <c r="BP432" s="331"/>
      <c r="BQ432" s="331"/>
      <c r="BR432" s="331"/>
      <c r="BS432" s="331"/>
      <c r="BT432" s="331"/>
      <c r="BU432" s="331"/>
      <c r="BV432" s="331"/>
      <c r="BW432" s="331"/>
      <c r="BX432" s="331"/>
      <c r="BY432" s="331"/>
      <c r="BZ432" s="331"/>
      <c r="CA432" s="331"/>
      <c r="CB432" s="331"/>
    </row>
    <row r="433" spans="5:81" ht="15.75">
      <c r="E433" s="416">
        <f t="shared" si="224"/>
        <v>44334</v>
      </c>
      <c r="F433" s="331"/>
      <c r="K433" s="331"/>
      <c r="M433" s="331"/>
      <c r="Y433" s="331"/>
      <c r="Z433" s="331"/>
      <c r="AA433" s="331"/>
      <c r="AB433" s="331"/>
      <c r="AC433" s="331"/>
      <c r="AD433" s="331"/>
      <c r="AE433" s="331"/>
      <c r="AF433" s="331"/>
      <c r="AG433" s="331"/>
      <c r="AH433" s="331">
        <f aca="true" t="shared" si="300" ref="AH433:AO433">+($F497/$F$9)</f>
        <v>0</v>
      </c>
      <c r="AI433" s="331">
        <f t="shared" si="300"/>
        <v>0</v>
      </c>
      <c r="AJ433" s="331">
        <f t="shared" si="300"/>
        <v>0</v>
      </c>
      <c r="AK433" s="331">
        <f t="shared" si="300"/>
        <v>0</v>
      </c>
      <c r="AL433" s="331">
        <f t="shared" si="300"/>
        <v>0</v>
      </c>
      <c r="AM433" s="331">
        <f t="shared" si="300"/>
        <v>0</v>
      </c>
      <c r="AN433" s="331">
        <f t="shared" si="300"/>
        <v>0</v>
      </c>
      <c r="AO433" s="331">
        <f t="shared" si="300"/>
        <v>0</v>
      </c>
      <c r="AP433" s="331">
        <f aca="true" t="shared" si="301" ref="AP433:BA433">+($F497/$F$9)</f>
        <v>0</v>
      </c>
      <c r="AQ433" s="331">
        <f t="shared" si="301"/>
        <v>0</v>
      </c>
      <c r="AR433" s="331">
        <f t="shared" si="301"/>
        <v>0</v>
      </c>
      <c r="AS433" s="331">
        <f t="shared" si="301"/>
        <v>0</v>
      </c>
      <c r="AT433" s="331">
        <f t="shared" si="301"/>
        <v>0</v>
      </c>
      <c r="AU433" s="331">
        <f t="shared" si="301"/>
        <v>0</v>
      </c>
      <c r="AV433" s="331">
        <f t="shared" si="301"/>
        <v>0</v>
      </c>
      <c r="AW433" s="331">
        <f t="shared" si="301"/>
        <v>0</v>
      </c>
      <c r="AX433" s="331">
        <f t="shared" si="301"/>
        <v>0</v>
      </c>
      <c r="AY433" s="331">
        <f t="shared" si="301"/>
        <v>0</v>
      </c>
      <c r="AZ433" s="331">
        <f t="shared" si="301"/>
        <v>0</v>
      </c>
      <c r="BA433" s="331">
        <f t="shared" si="301"/>
        <v>0</v>
      </c>
      <c r="BB433" s="331">
        <f aca="true" t="shared" si="302" ref="BB433:BM433">+($F497/$F$9)</f>
        <v>0</v>
      </c>
      <c r="BC433" s="331">
        <f t="shared" si="302"/>
        <v>0</v>
      </c>
      <c r="BD433" s="331">
        <f t="shared" si="302"/>
        <v>0</v>
      </c>
      <c r="BE433" s="331">
        <f t="shared" si="302"/>
        <v>0</v>
      </c>
      <c r="BF433" s="331">
        <f t="shared" si="302"/>
        <v>0</v>
      </c>
      <c r="BG433" s="331">
        <f t="shared" si="302"/>
        <v>0</v>
      </c>
      <c r="BH433" s="331">
        <f t="shared" si="302"/>
        <v>0</v>
      </c>
      <c r="BI433" s="331">
        <f t="shared" si="302"/>
        <v>0</v>
      </c>
      <c r="BJ433" s="331">
        <f t="shared" si="302"/>
        <v>0</v>
      </c>
      <c r="BK433" s="331">
        <f t="shared" si="302"/>
        <v>0</v>
      </c>
      <c r="BL433" s="331">
        <f t="shared" si="302"/>
        <v>0</v>
      </c>
      <c r="BM433" s="331">
        <f t="shared" si="302"/>
        <v>0</v>
      </c>
      <c r="BN433" s="331"/>
      <c r="BO433" s="331"/>
      <c r="BP433" s="331"/>
      <c r="BQ433" s="331"/>
      <c r="BR433" s="331"/>
      <c r="BS433" s="331"/>
      <c r="BT433" s="331"/>
      <c r="BU433" s="331"/>
      <c r="BV433" s="331"/>
      <c r="BW433" s="331"/>
      <c r="BX433" s="331"/>
      <c r="BY433" s="331"/>
      <c r="BZ433" s="331"/>
      <c r="CA433" s="331"/>
      <c r="CB433" s="331"/>
      <c r="CC433" s="331"/>
    </row>
    <row r="434" spans="5:82" ht="15.75">
      <c r="E434" s="416">
        <f t="shared" si="224"/>
        <v>44365</v>
      </c>
      <c r="F434" s="331"/>
      <c r="K434" s="331"/>
      <c r="M434" s="331"/>
      <c r="Y434" s="331"/>
      <c r="Z434" s="331"/>
      <c r="AA434" s="331"/>
      <c r="AB434" s="331"/>
      <c r="AC434" s="331"/>
      <c r="AD434" s="331"/>
      <c r="AE434" s="331"/>
      <c r="AF434" s="331"/>
      <c r="AG434" s="331"/>
      <c r="AH434" s="331"/>
      <c r="AI434" s="331">
        <f aca="true" t="shared" si="303" ref="AI434:AO434">+($F498/$F$9)</f>
        <v>0</v>
      </c>
      <c r="AJ434" s="331">
        <f t="shared" si="303"/>
        <v>0</v>
      </c>
      <c r="AK434" s="331">
        <f t="shared" si="303"/>
        <v>0</v>
      </c>
      <c r="AL434" s="331">
        <f t="shared" si="303"/>
        <v>0</v>
      </c>
      <c r="AM434" s="331">
        <f t="shared" si="303"/>
        <v>0</v>
      </c>
      <c r="AN434" s="331">
        <f t="shared" si="303"/>
        <v>0</v>
      </c>
      <c r="AO434" s="331">
        <f t="shared" si="303"/>
        <v>0</v>
      </c>
      <c r="AP434" s="331">
        <f aca="true" t="shared" si="304" ref="AP434:BA434">+($F498/$F$9)</f>
        <v>0</v>
      </c>
      <c r="AQ434" s="331">
        <f t="shared" si="304"/>
        <v>0</v>
      </c>
      <c r="AR434" s="331">
        <f t="shared" si="304"/>
        <v>0</v>
      </c>
      <c r="AS434" s="331">
        <f t="shared" si="304"/>
        <v>0</v>
      </c>
      <c r="AT434" s="331">
        <f t="shared" si="304"/>
        <v>0</v>
      </c>
      <c r="AU434" s="331">
        <f t="shared" si="304"/>
        <v>0</v>
      </c>
      <c r="AV434" s="331">
        <f t="shared" si="304"/>
        <v>0</v>
      </c>
      <c r="AW434" s="331">
        <f t="shared" si="304"/>
        <v>0</v>
      </c>
      <c r="AX434" s="331">
        <f t="shared" si="304"/>
        <v>0</v>
      </c>
      <c r="AY434" s="331">
        <f t="shared" si="304"/>
        <v>0</v>
      </c>
      <c r="AZ434" s="331">
        <f t="shared" si="304"/>
        <v>0</v>
      </c>
      <c r="BA434" s="331">
        <f t="shared" si="304"/>
        <v>0</v>
      </c>
      <c r="BB434" s="331">
        <f aca="true" t="shared" si="305" ref="BB434:BM434">+($F498/$F$9)</f>
        <v>0</v>
      </c>
      <c r="BC434" s="331">
        <f t="shared" si="305"/>
        <v>0</v>
      </c>
      <c r="BD434" s="331">
        <f t="shared" si="305"/>
        <v>0</v>
      </c>
      <c r="BE434" s="331">
        <f t="shared" si="305"/>
        <v>0</v>
      </c>
      <c r="BF434" s="331">
        <f t="shared" si="305"/>
        <v>0</v>
      </c>
      <c r="BG434" s="331">
        <f t="shared" si="305"/>
        <v>0</v>
      </c>
      <c r="BH434" s="331">
        <f t="shared" si="305"/>
        <v>0</v>
      </c>
      <c r="BI434" s="331">
        <f t="shared" si="305"/>
        <v>0</v>
      </c>
      <c r="BJ434" s="331">
        <f t="shared" si="305"/>
        <v>0</v>
      </c>
      <c r="BK434" s="331">
        <f t="shared" si="305"/>
        <v>0</v>
      </c>
      <c r="BL434" s="331">
        <f t="shared" si="305"/>
        <v>0</v>
      </c>
      <c r="BM434" s="331">
        <f t="shared" si="305"/>
        <v>0</v>
      </c>
      <c r="BN434" s="331"/>
      <c r="BO434" s="331"/>
      <c r="BP434" s="331"/>
      <c r="BQ434" s="331"/>
      <c r="BR434" s="331"/>
      <c r="BS434" s="331"/>
      <c r="BT434" s="331"/>
      <c r="BU434" s="331"/>
      <c r="BV434" s="331"/>
      <c r="BW434" s="331"/>
      <c r="BX434" s="331"/>
      <c r="BY434" s="331"/>
      <c r="BZ434" s="331"/>
      <c r="CA434" s="331"/>
      <c r="CB434" s="331"/>
      <c r="CC434" s="331"/>
      <c r="CD434" s="331"/>
    </row>
    <row r="435" spans="5:83" ht="15.75">
      <c r="E435" s="416">
        <f t="shared" si="224"/>
        <v>44396</v>
      </c>
      <c r="F435" s="331"/>
      <c r="K435" s="331"/>
      <c r="M435" s="331"/>
      <c r="Y435" s="331"/>
      <c r="Z435" s="331"/>
      <c r="AA435" s="331"/>
      <c r="AB435" s="331"/>
      <c r="AC435" s="331"/>
      <c r="AD435" s="331"/>
      <c r="AE435" s="331"/>
      <c r="AF435" s="331"/>
      <c r="AG435" s="331"/>
      <c r="AH435" s="331"/>
      <c r="AI435" s="331"/>
      <c r="AJ435" s="331">
        <f aca="true" t="shared" si="306" ref="AJ435:AO435">+($F499/$F$9)</f>
        <v>0</v>
      </c>
      <c r="AK435" s="331">
        <f t="shared" si="306"/>
        <v>0</v>
      </c>
      <c r="AL435" s="331">
        <f t="shared" si="306"/>
        <v>0</v>
      </c>
      <c r="AM435" s="331">
        <f t="shared" si="306"/>
        <v>0</v>
      </c>
      <c r="AN435" s="331">
        <f t="shared" si="306"/>
        <v>0</v>
      </c>
      <c r="AO435" s="331">
        <f t="shared" si="306"/>
        <v>0</v>
      </c>
      <c r="AP435" s="331">
        <f aca="true" t="shared" si="307" ref="AP435:BA435">+($F499/$F$9)</f>
        <v>0</v>
      </c>
      <c r="AQ435" s="331">
        <f t="shared" si="307"/>
        <v>0</v>
      </c>
      <c r="AR435" s="331">
        <f t="shared" si="307"/>
        <v>0</v>
      </c>
      <c r="AS435" s="331">
        <f t="shared" si="307"/>
        <v>0</v>
      </c>
      <c r="AT435" s="331">
        <f t="shared" si="307"/>
        <v>0</v>
      </c>
      <c r="AU435" s="331">
        <f t="shared" si="307"/>
        <v>0</v>
      </c>
      <c r="AV435" s="331">
        <f t="shared" si="307"/>
        <v>0</v>
      </c>
      <c r="AW435" s="331">
        <f t="shared" si="307"/>
        <v>0</v>
      </c>
      <c r="AX435" s="331">
        <f t="shared" si="307"/>
        <v>0</v>
      </c>
      <c r="AY435" s="331">
        <f t="shared" si="307"/>
        <v>0</v>
      </c>
      <c r="AZ435" s="331">
        <f t="shared" si="307"/>
        <v>0</v>
      </c>
      <c r="BA435" s="331">
        <f t="shared" si="307"/>
        <v>0</v>
      </c>
      <c r="BB435" s="331">
        <f aca="true" t="shared" si="308" ref="BB435:BM435">+($F499/$F$9)</f>
        <v>0</v>
      </c>
      <c r="BC435" s="331">
        <f t="shared" si="308"/>
        <v>0</v>
      </c>
      <c r="BD435" s="331">
        <f t="shared" si="308"/>
        <v>0</v>
      </c>
      <c r="BE435" s="331">
        <f t="shared" si="308"/>
        <v>0</v>
      </c>
      <c r="BF435" s="331">
        <f t="shared" si="308"/>
        <v>0</v>
      </c>
      <c r="BG435" s="331">
        <f t="shared" si="308"/>
        <v>0</v>
      </c>
      <c r="BH435" s="331">
        <f t="shared" si="308"/>
        <v>0</v>
      </c>
      <c r="BI435" s="331">
        <f t="shared" si="308"/>
        <v>0</v>
      </c>
      <c r="BJ435" s="331">
        <f t="shared" si="308"/>
        <v>0</v>
      </c>
      <c r="BK435" s="331">
        <f t="shared" si="308"/>
        <v>0</v>
      </c>
      <c r="BL435" s="331">
        <f t="shared" si="308"/>
        <v>0</v>
      </c>
      <c r="BM435" s="331">
        <f t="shared" si="308"/>
        <v>0</v>
      </c>
      <c r="BN435" s="331"/>
      <c r="BO435" s="331"/>
      <c r="BP435" s="331"/>
      <c r="BQ435" s="331"/>
      <c r="BR435" s="331"/>
      <c r="BS435" s="331"/>
      <c r="BT435" s="331"/>
      <c r="BU435" s="331"/>
      <c r="BV435" s="331"/>
      <c r="BW435" s="331"/>
      <c r="BX435" s="331"/>
      <c r="BY435" s="331"/>
      <c r="BZ435" s="331"/>
      <c r="CA435" s="331"/>
      <c r="CB435" s="331"/>
      <c r="CC435" s="331"/>
      <c r="CD435" s="331"/>
      <c r="CE435" s="331"/>
    </row>
    <row r="436" spans="5:84" ht="15.75">
      <c r="E436" s="416">
        <f t="shared" si="224"/>
        <v>44427</v>
      </c>
      <c r="F436" s="331"/>
      <c r="K436" s="331"/>
      <c r="M436" s="331"/>
      <c r="Y436" s="331"/>
      <c r="Z436" s="331"/>
      <c r="AA436" s="331"/>
      <c r="AB436" s="331"/>
      <c r="AC436" s="331"/>
      <c r="AD436" s="331"/>
      <c r="AE436" s="331"/>
      <c r="AF436" s="331"/>
      <c r="AG436" s="331"/>
      <c r="AH436" s="331"/>
      <c r="AI436" s="331"/>
      <c r="AJ436" s="331"/>
      <c r="AK436" s="331">
        <f>+($F500/$F$9)</f>
        <v>0</v>
      </c>
      <c r="AL436" s="331">
        <f>+($F500/$F$9)</f>
        <v>0</v>
      </c>
      <c r="AM436" s="331">
        <f>+($F500/$F$9)</f>
        <v>0</v>
      </c>
      <c r="AN436" s="331">
        <f>+($F500/$F$9)</f>
        <v>0</v>
      </c>
      <c r="AO436" s="331">
        <f>+($F500/$F$9)</f>
        <v>0</v>
      </c>
      <c r="AP436" s="331">
        <f aca="true" t="shared" si="309" ref="AP436:BA436">+($F500/$F$9)</f>
        <v>0</v>
      </c>
      <c r="AQ436" s="331">
        <f t="shared" si="309"/>
        <v>0</v>
      </c>
      <c r="AR436" s="331">
        <f t="shared" si="309"/>
        <v>0</v>
      </c>
      <c r="AS436" s="331">
        <f t="shared" si="309"/>
        <v>0</v>
      </c>
      <c r="AT436" s="331">
        <f t="shared" si="309"/>
        <v>0</v>
      </c>
      <c r="AU436" s="331">
        <f t="shared" si="309"/>
        <v>0</v>
      </c>
      <c r="AV436" s="331">
        <f t="shared" si="309"/>
        <v>0</v>
      </c>
      <c r="AW436" s="331">
        <f t="shared" si="309"/>
        <v>0</v>
      </c>
      <c r="AX436" s="331">
        <f t="shared" si="309"/>
        <v>0</v>
      </c>
      <c r="AY436" s="331">
        <f t="shared" si="309"/>
        <v>0</v>
      </c>
      <c r="AZ436" s="331">
        <f t="shared" si="309"/>
        <v>0</v>
      </c>
      <c r="BA436" s="331">
        <f t="shared" si="309"/>
        <v>0</v>
      </c>
      <c r="BB436" s="331">
        <f aca="true" t="shared" si="310" ref="BB436:BM436">+($F500/$F$9)</f>
        <v>0</v>
      </c>
      <c r="BC436" s="331">
        <f t="shared" si="310"/>
        <v>0</v>
      </c>
      <c r="BD436" s="331">
        <f t="shared" si="310"/>
        <v>0</v>
      </c>
      <c r="BE436" s="331">
        <f t="shared" si="310"/>
        <v>0</v>
      </c>
      <c r="BF436" s="331">
        <f t="shared" si="310"/>
        <v>0</v>
      </c>
      <c r="BG436" s="331">
        <f t="shared" si="310"/>
        <v>0</v>
      </c>
      <c r="BH436" s="331">
        <f t="shared" si="310"/>
        <v>0</v>
      </c>
      <c r="BI436" s="331">
        <f t="shared" si="310"/>
        <v>0</v>
      </c>
      <c r="BJ436" s="331">
        <f t="shared" si="310"/>
        <v>0</v>
      </c>
      <c r="BK436" s="331">
        <f t="shared" si="310"/>
        <v>0</v>
      </c>
      <c r="BL436" s="331">
        <f t="shared" si="310"/>
        <v>0</v>
      </c>
      <c r="BM436" s="331">
        <f t="shared" si="310"/>
        <v>0</v>
      </c>
      <c r="BN436" s="331"/>
      <c r="BO436" s="331"/>
      <c r="BP436" s="331"/>
      <c r="BQ436" s="331"/>
      <c r="BR436" s="331"/>
      <c r="BS436" s="331"/>
      <c r="BT436" s="331"/>
      <c r="BU436" s="331"/>
      <c r="BV436" s="331"/>
      <c r="BW436" s="331"/>
      <c r="BX436" s="331"/>
      <c r="BY436" s="331"/>
      <c r="BZ436" s="331"/>
      <c r="CA436" s="331"/>
      <c r="CB436" s="331"/>
      <c r="CC436" s="331"/>
      <c r="CD436" s="331"/>
      <c r="CE436" s="331"/>
      <c r="CF436" s="331"/>
    </row>
    <row r="437" spans="5:85" ht="15.75">
      <c r="E437" s="416">
        <f t="shared" si="224"/>
        <v>44458</v>
      </c>
      <c r="F437" s="331"/>
      <c r="K437" s="331"/>
      <c r="M437" s="331"/>
      <c r="Y437" s="331"/>
      <c r="Z437" s="331"/>
      <c r="AA437" s="331"/>
      <c r="AB437" s="331"/>
      <c r="AC437" s="331"/>
      <c r="AD437" s="331"/>
      <c r="AE437" s="331"/>
      <c r="AF437" s="331"/>
      <c r="AG437" s="331"/>
      <c r="AH437" s="331"/>
      <c r="AI437" s="331"/>
      <c r="AJ437" s="331"/>
      <c r="AK437" s="331"/>
      <c r="AL437" s="331">
        <f>+($F501/$F$9)</f>
        <v>0</v>
      </c>
      <c r="AM437" s="331">
        <f>+($F501/$F$9)</f>
        <v>0</v>
      </c>
      <c r="AN437" s="331">
        <f>+($F501/$F$9)</f>
        <v>0</v>
      </c>
      <c r="AO437" s="331">
        <f>+($F501/$F$9)</f>
        <v>0</v>
      </c>
      <c r="AP437" s="331">
        <f aca="true" t="shared" si="311" ref="AP437:BA437">+($F501/$F$9)</f>
        <v>0</v>
      </c>
      <c r="AQ437" s="331">
        <f t="shared" si="311"/>
        <v>0</v>
      </c>
      <c r="AR437" s="331">
        <f t="shared" si="311"/>
        <v>0</v>
      </c>
      <c r="AS437" s="331">
        <f t="shared" si="311"/>
        <v>0</v>
      </c>
      <c r="AT437" s="331">
        <f t="shared" si="311"/>
        <v>0</v>
      </c>
      <c r="AU437" s="331">
        <f t="shared" si="311"/>
        <v>0</v>
      </c>
      <c r="AV437" s="331">
        <f t="shared" si="311"/>
        <v>0</v>
      </c>
      <c r="AW437" s="331">
        <f t="shared" si="311"/>
        <v>0</v>
      </c>
      <c r="AX437" s="331">
        <f t="shared" si="311"/>
        <v>0</v>
      </c>
      <c r="AY437" s="331">
        <f t="shared" si="311"/>
        <v>0</v>
      </c>
      <c r="AZ437" s="331">
        <f t="shared" si="311"/>
        <v>0</v>
      </c>
      <c r="BA437" s="331">
        <f t="shared" si="311"/>
        <v>0</v>
      </c>
      <c r="BB437" s="331">
        <f aca="true" t="shared" si="312" ref="BB437:BM437">+($F501/$F$9)</f>
        <v>0</v>
      </c>
      <c r="BC437" s="331">
        <f t="shared" si="312"/>
        <v>0</v>
      </c>
      <c r="BD437" s="331">
        <f t="shared" si="312"/>
        <v>0</v>
      </c>
      <c r="BE437" s="331">
        <f t="shared" si="312"/>
        <v>0</v>
      </c>
      <c r="BF437" s="331">
        <f t="shared" si="312"/>
        <v>0</v>
      </c>
      <c r="BG437" s="331">
        <f t="shared" si="312"/>
        <v>0</v>
      </c>
      <c r="BH437" s="331">
        <f t="shared" si="312"/>
        <v>0</v>
      </c>
      <c r="BI437" s="331">
        <f t="shared" si="312"/>
        <v>0</v>
      </c>
      <c r="BJ437" s="331">
        <f t="shared" si="312"/>
        <v>0</v>
      </c>
      <c r="BK437" s="331">
        <f t="shared" si="312"/>
        <v>0</v>
      </c>
      <c r="BL437" s="331">
        <f t="shared" si="312"/>
        <v>0</v>
      </c>
      <c r="BM437" s="331">
        <f t="shared" si="312"/>
        <v>0</v>
      </c>
      <c r="BN437" s="331"/>
      <c r="BO437" s="331"/>
      <c r="BP437" s="331"/>
      <c r="BQ437" s="331"/>
      <c r="BR437" s="331"/>
      <c r="BS437" s="331"/>
      <c r="BT437" s="331"/>
      <c r="BU437" s="331"/>
      <c r="BV437" s="331"/>
      <c r="BW437" s="331"/>
      <c r="BX437" s="331"/>
      <c r="BY437" s="331"/>
      <c r="BZ437" s="331"/>
      <c r="CA437" s="331"/>
      <c r="CB437" s="331"/>
      <c r="CC437" s="331"/>
      <c r="CD437" s="331"/>
      <c r="CE437" s="331"/>
      <c r="CF437" s="331"/>
      <c r="CG437" s="331"/>
    </row>
    <row r="438" spans="5:86" ht="15.75">
      <c r="E438" s="416">
        <f t="shared" si="224"/>
        <v>44489</v>
      </c>
      <c r="F438" s="331"/>
      <c r="K438" s="331"/>
      <c r="M438" s="331"/>
      <c r="Y438" s="331"/>
      <c r="Z438" s="331"/>
      <c r="AA438" s="331"/>
      <c r="AB438" s="331"/>
      <c r="AC438" s="331"/>
      <c r="AD438" s="331"/>
      <c r="AE438" s="331"/>
      <c r="AF438" s="331"/>
      <c r="AG438" s="331"/>
      <c r="AH438" s="331"/>
      <c r="AI438" s="331"/>
      <c r="AJ438" s="331"/>
      <c r="AK438" s="331"/>
      <c r="AL438" s="331"/>
      <c r="AM438" s="331">
        <f>+($F502/$F$9)</f>
        <v>0</v>
      </c>
      <c r="AN438" s="331">
        <f>+($F502/$F$9)</f>
        <v>0</v>
      </c>
      <c r="AO438" s="331">
        <f>+($F502/$F$9)</f>
        <v>0</v>
      </c>
      <c r="AP438" s="331">
        <f aca="true" t="shared" si="313" ref="AP438:BA438">+($F502/$F$9)</f>
        <v>0</v>
      </c>
      <c r="AQ438" s="331">
        <f t="shared" si="313"/>
        <v>0</v>
      </c>
      <c r="AR438" s="331">
        <f t="shared" si="313"/>
        <v>0</v>
      </c>
      <c r="AS438" s="331">
        <f t="shared" si="313"/>
        <v>0</v>
      </c>
      <c r="AT438" s="331">
        <f t="shared" si="313"/>
        <v>0</v>
      </c>
      <c r="AU438" s="331">
        <f t="shared" si="313"/>
        <v>0</v>
      </c>
      <c r="AV438" s="331">
        <f t="shared" si="313"/>
        <v>0</v>
      </c>
      <c r="AW438" s="331">
        <f t="shared" si="313"/>
        <v>0</v>
      </c>
      <c r="AX438" s="331">
        <f t="shared" si="313"/>
        <v>0</v>
      </c>
      <c r="AY438" s="331">
        <f t="shared" si="313"/>
        <v>0</v>
      </c>
      <c r="AZ438" s="331">
        <f t="shared" si="313"/>
        <v>0</v>
      </c>
      <c r="BA438" s="331">
        <f t="shared" si="313"/>
        <v>0</v>
      </c>
      <c r="BB438" s="331">
        <f aca="true" t="shared" si="314" ref="BB438:BM438">+($F502/$F$9)</f>
        <v>0</v>
      </c>
      <c r="BC438" s="331">
        <f t="shared" si="314"/>
        <v>0</v>
      </c>
      <c r="BD438" s="331">
        <f t="shared" si="314"/>
        <v>0</v>
      </c>
      <c r="BE438" s="331">
        <f t="shared" si="314"/>
        <v>0</v>
      </c>
      <c r="BF438" s="331">
        <f t="shared" si="314"/>
        <v>0</v>
      </c>
      <c r="BG438" s="331">
        <f t="shared" si="314"/>
        <v>0</v>
      </c>
      <c r="BH438" s="331">
        <f t="shared" si="314"/>
        <v>0</v>
      </c>
      <c r="BI438" s="331">
        <f t="shared" si="314"/>
        <v>0</v>
      </c>
      <c r="BJ438" s="331">
        <f t="shared" si="314"/>
        <v>0</v>
      </c>
      <c r="BK438" s="331">
        <f t="shared" si="314"/>
        <v>0</v>
      </c>
      <c r="BL438" s="331">
        <f t="shared" si="314"/>
        <v>0</v>
      </c>
      <c r="BM438" s="331">
        <f t="shared" si="314"/>
        <v>0</v>
      </c>
      <c r="BN438" s="331"/>
      <c r="BO438" s="331"/>
      <c r="BP438" s="331"/>
      <c r="BQ438" s="331"/>
      <c r="BR438" s="331"/>
      <c r="BS438" s="331"/>
      <c r="BT438" s="331"/>
      <c r="BU438" s="331"/>
      <c r="BV438" s="331"/>
      <c r="BW438" s="331"/>
      <c r="BX438" s="331"/>
      <c r="BY438" s="331"/>
      <c r="BZ438" s="331"/>
      <c r="CA438" s="331"/>
      <c r="CB438" s="331"/>
      <c r="CC438" s="331"/>
      <c r="CD438" s="331"/>
      <c r="CE438" s="331"/>
      <c r="CF438" s="331"/>
      <c r="CG438" s="331"/>
      <c r="CH438" s="331"/>
    </row>
    <row r="439" spans="5:87" ht="15.75">
      <c r="E439" s="416">
        <f t="shared" si="224"/>
        <v>44520</v>
      </c>
      <c r="F439" s="331"/>
      <c r="K439" s="331"/>
      <c r="M439" s="331"/>
      <c r="Y439" s="331"/>
      <c r="Z439" s="331"/>
      <c r="AA439" s="331"/>
      <c r="AB439" s="331"/>
      <c r="AC439" s="331"/>
      <c r="AD439" s="331"/>
      <c r="AE439" s="331"/>
      <c r="AF439" s="331"/>
      <c r="AG439" s="331"/>
      <c r="AH439" s="331"/>
      <c r="AI439" s="331"/>
      <c r="AJ439" s="331"/>
      <c r="AK439" s="331"/>
      <c r="AL439" s="331"/>
      <c r="AM439" s="331"/>
      <c r="AN439" s="331">
        <f>+($F503/$F$9)</f>
        <v>0</v>
      </c>
      <c r="AO439" s="331">
        <f>+($F503/$F$9)</f>
        <v>0</v>
      </c>
      <c r="AP439" s="331">
        <f aca="true" t="shared" si="315" ref="AP439:BA439">+($F503/$F$9)</f>
        <v>0</v>
      </c>
      <c r="AQ439" s="331">
        <f t="shared" si="315"/>
        <v>0</v>
      </c>
      <c r="AR439" s="331">
        <f t="shared" si="315"/>
        <v>0</v>
      </c>
      <c r="AS439" s="331">
        <f t="shared" si="315"/>
        <v>0</v>
      </c>
      <c r="AT439" s="331">
        <f t="shared" si="315"/>
        <v>0</v>
      </c>
      <c r="AU439" s="331">
        <f t="shared" si="315"/>
        <v>0</v>
      </c>
      <c r="AV439" s="331">
        <f t="shared" si="315"/>
        <v>0</v>
      </c>
      <c r="AW439" s="331">
        <f t="shared" si="315"/>
        <v>0</v>
      </c>
      <c r="AX439" s="331">
        <f t="shared" si="315"/>
        <v>0</v>
      </c>
      <c r="AY439" s="331">
        <f t="shared" si="315"/>
        <v>0</v>
      </c>
      <c r="AZ439" s="331">
        <f t="shared" si="315"/>
        <v>0</v>
      </c>
      <c r="BA439" s="331">
        <f t="shared" si="315"/>
        <v>0</v>
      </c>
      <c r="BB439" s="331">
        <f aca="true" t="shared" si="316" ref="BB439:BM439">+($F503/$F$9)</f>
        <v>0</v>
      </c>
      <c r="BC439" s="331">
        <f t="shared" si="316"/>
        <v>0</v>
      </c>
      <c r="BD439" s="331">
        <f t="shared" si="316"/>
        <v>0</v>
      </c>
      <c r="BE439" s="331">
        <f t="shared" si="316"/>
        <v>0</v>
      </c>
      <c r="BF439" s="331">
        <f t="shared" si="316"/>
        <v>0</v>
      </c>
      <c r="BG439" s="331">
        <f t="shared" si="316"/>
        <v>0</v>
      </c>
      <c r="BH439" s="331">
        <f t="shared" si="316"/>
        <v>0</v>
      </c>
      <c r="BI439" s="331">
        <f t="shared" si="316"/>
        <v>0</v>
      </c>
      <c r="BJ439" s="331">
        <f t="shared" si="316"/>
        <v>0</v>
      </c>
      <c r="BK439" s="331">
        <f t="shared" si="316"/>
        <v>0</v>
      </c>
      <c r="BL439" s="331">
        <f t="shared" si="316"/>
        <v>0</v>
      </c>
      <c r="BM439" s="331">
        <f t="shared" si="316"/>
        <v>0</v>
      </c>
      <c r="BN439" s="331"/>
      <c r="BO439" s="331"/>
      <c r="BP439" s="331"/>
      <c r="BQ439" s="331"/>
      <c r="BR439" s="331"/>
      <c r="BS439" s="331"/>
      <c r="BT439" s="331"/>
      <c r="BU439" s="331"/>
      <c r="BV439" s="331"/>
      <c r="BW439" s="331"/>
      <c r="BX439" s="331"/>
      <c r="BY439" s="331"/>
      <c r="BZ439" s="331"/>
      <c r="CA439" s="331"/>
      <c r="CB439" s="331"/>
      <c r="CC439" s="331"/>
      <c r="CD439" s="331"/>
      <c r="CE439" s="331"/>
      <c r="CF439" s="331"/>
      <c r="CG439" s="331"/>
      <c r="CH439" s="331"/>
      <c r="CI439" s="331"/>
    </row>
    <row r="440" spans="5:88" ht="15.75">
      <c r="E440" s="416">
        <f t="shared" si="224"/>
        <v>44551</v>
      </c>
      <c r="F440" s="331"/>
      <c r="K440" s="331"/>
      <c r="M440" s="331"/>
      <c r="Y440" s="331"/>
      <c r="Z440" s="331"/>
      <c r="AA440" s="331"/>
      <c r="AB440" s="331"/>
      <c r="AC440" s="331"/>
      <c r="AD440" s="331"/>
      <c r="AE440" s="331"/>
      <c r="AF440" s="331"/>
      <c r="AG440" s="331"/>
      <c r="AH440" s="331"/>
      <c r="AI440" s="331"/>
      <c r="AJ440" s="331"/>
      <c r="AK440" s="331"/>
      <c r="AL440" s="331"/>
      <c r="AM440" s="331"/>
      <c r="AN440" s="331"/>
      <c r="AO440" s="331">
        <f>+($F504/$F$9)</f>
        <v>0</v>
      </c>
      <c r="AP440" s="331">
        <f aca="true" t="shared" si="317" ref="AP440:BA440">+($F504/$F$9)</f>
        <v>0</v>
      </c>
      <c r="AQ440" s="331">
        <f t="shared" si="317"/>
        <v>0</v>
      </c>
      <c r="AR440" s="331">
        <f t="shared" si="317"/>
        <v>0</v>
      </c>
      <c r="AS440" s="331">
        <f t="shared" si="317"/>
        <v>0</v>
      </c>
      <c r="AT440" s="331">
        <f t="shared" si="317"/>
        <v>0</v>
      </c>
      <c r="AU440" s="331">
        <f t="shared" si="317"/>
        <v>0</v>
      </c>
      <c r="AV440" s="331">
        <f t="shared" si="317"/>
        <v>0</v>
      </c>
      <c r="AW440" s="331">
        <f t="shared" si="317"/>
        <v>0</v>
      </c>
      <c r="AX440" s="331">
        <f t="shared" si="317"/>
        <v>0</v>
      </c>
      <c r="AY440" s="331">
        <f t="shared" si="317"/>
        <v>0</v>
      </c>
      <c r="AZ440" s="331">
        <f t="shared" si="317"/>
        <v>0</v>
      </c>
      <c r="BA440" s="331">
        <f t="shared" si="317"/>
        <v>0</v>
      </c>
      <c r="BB440" s="331">
        <f aca="true" t="shared" si="318" ref="BB440:BM440">+($F504/$F$9)</f>
        <v>0</v>
      </c>
      <c r="BC440" s="331">
        <f t="shared" si="318"/>
        <v>0</v>
      </c>
      <c r="BD440" s="331">
        <f t="shared" si="318"/>
        <v>0</v>
      </c>
      <c r="BE440" s="331">
        <f t="shared" si="318"/>
        <v>0</v>
      </c>
      <c r="BF440" s="331">
        <f t="shared" si="318"/>
        <v>0</v>
      </c>
      <c r="BG440" s="331">
        <f t="shared" si="318"/>
        <v>0</v>
      </c>
      <c r="BH440" s="331">
        <f t="shared" si="318"/>
        <v>0</v>
      </c>
      <c r="BI440" s="331">
        <f t="shared" si="318"/>
        <v>0</v>
      </c>
      <c r="BJ440" s="331">
        <f t="shared" si="318"/>
        <v>0</v>
      </c>
      <c r="BK440" s="331">
        <f t="shared" si="318"/>
        <v>0</v>
      </c>
      <c r="BL440" s="331">
        <f t="shared" si="318"/>
        <v>0</v>
      </c>
      <c r="BM440" s="331">
        <f t="shared" si="318"/>
        <v>0</v>
      </c>
      <c r="BN440" s="331"/>
      <c r="BO440" s="331"/>
      <c r="BP440" s="331"/>
      <c r="BQ440" s="331"/>
      <c r="BR440" s="331"/>
      <c r="BS440" s="331"/>
      <c r="BT440" s="331"/>
      <c r="BU440" s="331"/>
      <c r="BV440" s="331"/>
      <c r="BW440" s="331"/>
      <c r="BX440" s="331"/>
      <c r="BY440" s="331"/>
      <c r="BZ440" s="331"/>
      <c r="CA440" s="331"/>
      <c r="CB440" s="331"/>
      <c r="CC440" s="331"/>
      <c r="CD440" s="331"/>
      <c r="CE440" s="331"/>
      <c r="CF440" s="331"/>
      <c r="CG440" s="331"/>
      <c r="CH440" s="331"/>
      <c r="CI440" s="331"/>
      <c r="CJ440" s="331"/>
    </row>
    <row r="441" spans="5:89" ht="15.75">
      <c r="E441" s="416">
        <f t="shared" si="224"/>
        <v>44582</v>
      </c>
      <c r="F441" s="331"/>
      <c r="K441" s="331"/>
      <c r="M441" s="331"/>
      <c r="Y441" s="331"/>
      <c r="Z441" s="331"/>
      <c r="AA441" s="331"/>
      <c r="AB441" s="331"/>
      <c r="AC441" s="331"/>
      <c r="AD441" s="331"/>
      <c r="AE441" s="331"/>
      <c r="AF441" s="331"/>
      <c r="AG441" s="331"/>
      <c r="AH441" s="331"/>
      <c r="AI441" s="331"/>
      <c r="AJ441" s="331"/>
      <c r="AK441" s="331"/>
      <c r="AL441" s="331"/>
      <c r="AM441" s="331"/>
      <c r="AN441" s="331"/>
      <c r="AO441" s="331"/>
      <c r="AP441" s="331">
        <f aca="true" t="shared" si="319" ref="AP441:BA441">+($F505/$F$9)</f>
        <v>0</v>
      </c>
      <c r="AQ441" s="331">
        <f t="shared" si="319"/>
        <v>0</v>
      </c>
      <c r="AR441" s="331">
        <f t="shared" si="319"/>
        <v>0</v>
      </c>
      <c r="AS441" s="331">
        <f t="shared" si="319"/>
        <v>0</v>
      </c>
      <c r="AT441" s="331">
        <f t="shared" si="319"/>
        <v>0</v>
      </c>
      <c r="AU441" s="331">
        <f t="shared" si="319"/>
        <v>0</v>
      </c>
      <c r="AV441" s="331">
        <f t="shared" si="319"/>
        <v>0</v>
      </c>
      <c r="AW441" s="331">
        <f t="shared" si="319"/>
        <v>0</v>
      </c>
      <c r="AX441" s="331">
        <f t="shared" si="319"/>
        <v>0</v>
      </c>
      <c r="AY441" s="331">
        <f t="shared" si="319"/>
        <v>0</v>
      </c>
      <c r="AZ441" s="331">
        <f t="shared" si="319"/>
        <v>0</v>
      </c>
      <c r="BA441" s="331">
        <f t="shared" si="319"/>
        <v>0</v>
      </c>
      <c r="BB441" s="331">
        <f aca="true" t="shared" si="320" ref="BB441:BM441">+($F505/$F$9)</f>
        <v>0</v>
      </c>
      <c r="BC441" s="331">
        <f t="shared" si="320"/>
        <v>0</v>
      </c>
      <c r="BD441" s="331">
        <f t="shared" si="320"/>
        <v>0</v>
      </c>
      <c r="BE441" s="331">
        <f t="shared" si="320"/>
        <v>0</v>
      </c>
      <c r="BF441" s="331">
        <f t="shared" si="320"/>
        <v>0</v>
      </c>
      <c r="BG441" s="331">
        <f t="shared" si="320"/>
        <v>0</v>
      </c>
      <c r="BH441" s="331">
        <f t="shared" si="320"/>
        <v>0</v>
      </c>
      <c r="BI441" s="331">
        <f t="shared" si="320"/>
        <v>0</v>
      </c>
      <c r="BJ441" s="331">
        <f t="shared" si="320"/>
        <v>0</v>
      </c>
      <c r="BK441" s="331">
        <f t="shared" si="320"/>
        <v>0</v>
      </c>
      <c r="BL441" s="331">
        <f t="shared" si="320"/>
        <v>0</v>
      </c>
      <c r="BM441" s="331">
        <f t="shared" si="320"/>
        <v>0</v>
      </c>
      <c r="BN441" s="331"/>
      <c r="BO441" s="331"/>
      <c r="BP441" s="331"/>
      <c r="BQ441" s="331"/>
      <c r="BR441" s="331"/>
      <c r="BS441" s="331"/>
      <c r="BT441" s="331"/>
      <c r="BU441" s="331"/>
      <c r="BV441" s="331"/>
      <c r="BW441" s="331"/>
      <c r="BX441" s="331"/>
      <c r="BY441" s="331"/>
      <c r="BZ441" s="331"/>
      <c r="CA441" s="331"/>
      <c r="CB441" s="331"/>
      <c r="CC441" s="331"/>
      <c r="CD441" s="331"/>
      <c r="CE441" s="331"/>
      <c r="CF441" s="331"/>
      <c r="CG441" s="331"/>
      <c r="CH441" s="331"/>
      <c r="CI441" s="331"/>
      <c r="CJ441" s="331"/>
      <c r="CK441" s="331"/>
    </row>
    <row r="442" spans="5:90" ht="15.75">
      <c r="E442" s="416">
        <f t="shared" si="224"/>
        <v>44613</v>
      </c>
      <c r="F442" s="331"/>
      <c r="K442" s="331"/>
      <c r="M442" s="331"/>
      <c r="Y442" s="331"/>
      <c r="Z442" s="331"/>
      <c r="AA442" s="331"/>
      <c r="AB442" s="331"/>
      <c r="AC442" s="331"/>
      <c r="AD442" s="331"/>
      <c r="AE442" s="331"/>
      <c r="AF442" s="331"/>
      <c r="AG442" s="331"/>
      <c r="AH442" s="331"/>
      <c r="AI442" s="331"/>
      <c r="AJ442" s="331"/>
      <c r="AK442" s="331"/>
      <c r="AL442" s="331"/>
      <c r="AM442" s="331"/>
      <c r="AN442" s="331"/>
      <c r="AO442" s="331"/>
      <c r="AP442" s="331"/>
      <c r="AQ442" s="331">
        <f aca="true" t="shared" si="321" ref="AQ442:BM442">+($F506/$F$9)</f>
        <v>0</v>
      </c>
      <c r="AR442" s="331">
        <f t="shared" si="321"/>
        <v>0</v>
      </c>
      <c r="AS442" s="331">
        <f t="shared" si="321"/>
        <v>0</v>
      </c>
      <c r="AT442" s="331">
        <f t="shared" si="321"/>
        <v>0</v>
      </c>
      <c r="AU442" s="331">
        <f t="shared" si="321"/>
        <v>0</v>
      </c>
      <c r="AV442" s="331">
        <f t="shared" si="321"/>
        <v>0</v>
      </c>
      <c r="AW442" s="331">
        <f t="shared" si="321"/>
        <v>0</v>
      </c>
      <c r="AX442" s="331">
        <f t="shared" si="321"/>
        <v>0</v>
      </c>
      <c r="AY442" s="331">
        <f t="shared" si="321"/>
        <v>0</v>
      </c>
      <c r="AZ442" s="331">
        <f t="shared" si="321"/>
        <v>0</v>
      </c>
      <c r="BA442" s="331">
        <f t="shared" si="321"/>
        <v>0</v>
      </c>
      <c r="BB442" s="331">
        <f t="shared" si="321"/>
        <v>0</v>
      </c>
      <c r="BC442" s="331">
        <f t="shared" si="321"/>
        <v>0</v>
      </c>
      <c r="BD442" s="331">
        <f t="shared" si="321"/>
        <v>0</v>
      </c>
      <c r="BE442" s="331">
        <f t="shared" si="321"/>
        <v>0</v>
      </c>
      <c r="BF442" s="331">
        <f t="shared" si="321"/>
        <v>0</v>
      </c>
      <c r="BG442" s="331">
        <f t="shared" si="321"/>
        <v>0</v>
      </c>
      <c r="BH442" s="331">
        <f t="shared" si="321"/>
        <v>0</v>
      </c>
      <c r="BI442" s="331">
        <f t="shared" si="321"/>
        <v>0</v>
      </c>
      <c r="BJ442" s="331">
        <f t="shared" si="321"/>
        <v>0</v>
      </c>
      <c r="BK442" s="331">
        <f t="shared" si="321"/>
        <v>0</v>
      </c>
      <c r="BL442" s="331">
        <f t="shared" si="321"/>
        <v>0</v>
      </c>
      <c r="BM442" s="331">
        <f t="shared" si="321"/>
        <v>0</v>
      </c>
      <c r="BN442" s="331"/>
      <c r="BO442" s="331"/>
      <c r="BP442" s="331"/>
      <c r="BQ442" s="331"/>
      <c r="BR442" s="331"/>
      <c r="BS442" s="331"/>
      <c r="BT442" s="331"/>
      <c r="BU442" s="331"/>
      <c r="BV442" s="331"/>
      <c r="BW442" s="331"/>
      <c r="BX442" s="331"/>
      <c r="BY442" s="331"/>
      <c r="BZ442" s="331"/>
      <c r="CA442" s="331"/>
      <c r="CB442" s="331"/>
      <c r="CC442" s="331"/>
      <c r="CD442" s="331"/>
      <c r="CE442" s="331"/>
      <c r="CF442" s="331"/>
      <c r="CG442" s="331"/>
      <c r="CH442" s="331"/>
      <c r="CI442" s="331"/>
      <c r="CJ442" s="331"/>
      <c r="CK442" s="331"/>
      <c r="CL442" s="331"/>
    </row>
    <row r="443" spans="5:91" ht="15.75">
      <c r="E443" s="416">
        <f t="shared" si="224"/>
        <v>44644</v>
      </c>
      <c r="F443" s="331"/>
      <c r="K443" s="331"/>
      <c r="M443" s="331"/>
      <c r="Y443" s="331"/>
      <c r="Z443" s="331"/>
      <c r="AA443" s="331"/>
      <c r="AB443" s="331"/>
      <c r="AC443" s="331"/>
      <c r="AD443" s="331"/>
      <c r="AE443" s="331"/>
      <c r="AF443" s="331"/>
      <c r="AG443" s="331"/>
      <c r="AH443" s="331"/>
      <c r="AI443" s="331"/>
      <c r="AJ443" s="331"/>
      <c r="AK443" s="331"/>
      <c r="AL443" s="331"/>
      <c r="AM443" s="331"/>
      <c r="AN443" s="331"/>
      <c r="AO443" s="331"/>
      <c r="AP443" s="331"/>
      <c r="AQ443" s="331"/>
      <c r="AR443" s="331">
        <f aca="true" t="shared" si="322" ref="AR443:BM443">+($F507/$F$9)</f>
        <v>0</v>
      </c>
      <c r="AS443" s="331">
        <f t="shared" si="322"/>
        <v>0</v>
      </c>
      <c r="AT443" s="331">
        <f t="shared" si="322"/>
        <v>0</v>
      </c>
      <c r="AU443" s="331">
        <f t="shared" si="322"/>
        <v>0</v>
      </c>
      <c r="AV443" s="331">
        <f t="shared" si="322"/>
        <v>0</v>
      </c>
      <c r="AW443" s="331">
        <f t="shared" si="322"/>
        <v>0</v>
      </c>
      <c r="AX443" s="331">
        <f t="shared" si="322"/>
        <v>0</v>
      </c>
      <c r="AY443" s="331">
        <f t="shared" si="322"/>
        <v>0</v>
      </c>
      <c r="AZ443" s="331">
        <f t="shared" si="322"/>
        <v>0</v>
      </c>
      <c r="BA443" s="331">
        <f t="shared" si="322"/>
        <v>0</v>
      </c>
      <c r="BB443" s="331">
        <f t="shared" si="322"/>
        <v>0</v>
      </c>
      <c r="BC443" s="331">
        <f t="shared" si="322"/>
        <v>0</v>
      </c>
      <c r="BD443" s="331">
        <f t="shared" si="322"/>
        <v>0</v>
      </c>
      <c r="BE443" s="331">
        <f t="shared" si="322"/>
        <v>0</v>
      </c>
      <c r="BF443" s="331">
        <f t="shared" si="322"/>
        <v>0</v>
      </c>
      <c r="BG443" s="331">
        <f t="shared" si="322"/>
        <v>0</v>
      </c>
      <c r="BH443" s="331">
        <f t="shared" si="322"/>
        <v>0</v>
      </c>
      <c r="BI443" s="331">
        <f t="shared" si="322"/>
        <v>0</v>
      </c>
      <c r="BJ443" s="331">
        <f t="shared" si="322"/>
        <v>0</v>
      </c>
      <c r="BK443" s="331">
        <f t="shared" si="322"/>
        <v>0</v>
      </c>
      <c r="BL443" s="331">
        <f t="shared" si="322"/>
        <v>0</v>
      </c>
      <c r="BM443" s="331">
        <f t="shared" si="322"/>
        <v>0</v>
      </c>
      <c r="BN443" s="331"/>
      <c r="BO443" s="331"/>
      <c r="BP443" s="331"/>
      <c r="BQ443" s="331"/>
      <c r="BR443" s="331"/>
      <c r="BS443" s="331"/>
      <c r="BT443" s="331"/>
      <c r="BU443" s="331"/>
      <c r="BV443" s="331"/>
      <c r="BW443" s="331"/>
      <c r="BX443" s="331"/>
      <c r="BY443" s="331"/>
      <c r="BZ443" s="331"/>
      <c r="CA443" s="331"/>
      <c r="CB443" s="331"/>
      <c r="CC443" s="331"/>
      <c r="CD443" s="331"/>
      <c r="CE443" s="331"/>
      <c r="CF443" s="331"/>
      <c r="CG443" s="331"/>
      <c r="CH443" s="331"/>
      <c r="CI443" s="331"/>
      <c r="CJ443" s="331"/>
      <c r="CK443" s="331"/>
      <c r="CL443" s="331"/>
      <c r="CM443" s="331"/>
    </row>
    <row r="444" spans="5:92" ht="15.75">
      <c r="E444" s="416">
        <f t="shared" si="224"/>
        <v>44675</v>
      </c>
      <c r="F444" s="331"/>
      <c r="K444" s="331"/>
      <c r="M444" s="331"/>
      <c r="Y444" s="331"/>
      <c r="Z444" s="331"/>
      <c r="AA444" s="331"/>
      <c r="AB444" s="331"/>
      <c r="AC444" s="331"/>
      <c r="AD444" s="331"/>
      <c r="AE444" s="331"/>
      <c r="AF444" s="331"/>
      <c r="AG444" s="331"/>
      <c r="AH444" s="331"/>
      <c r="AI444" s="331"/>
      <c r="AJ444" s="331"/>
      <c r="AK444" s="331"/>
      <c r="AL444" s="331"/>
      <c r="AM444" s="331"/>
      <c r="AN444" s="331"/>
      <c r="AO444" s="331"/>
      <c r="AP444" s="331"/>
      <c r="AQ444" s="331"/>
      <c r="AR444" s="331"/>
      <c r="AS444" s="331">
        <f aca="true" t="shared" si="323" ref="AS444:BM444">+($F508/$F$9)</f>
        <v>0</v>
      </c>
      <c r="AT444" s="331">
        <f t="shared" si="323"/>
        <v>0</v>
      </c>
      <c r="AU444" s="331">
        <f t="shared" si="323"/>
        <v>0</v>
      </c>
      <c r="AV444" s="331">
        <f t="shared" si="323"/>
        <v>0</v>
      </c>
      <c r="AW444" s="331">
        <f t="shared" si="323"/>
        <v>0</v>
      </c>
      <c r="AX444" s="331">
        <f t="shared" si="323"/>
        <v>0</v>
      </c>
      <c r="AY444" s="331">
        <f t="shared" si="323"/>
        <v>0</v>
      </c>
      <c r="AZ444" s="331">
        <f t="shared" si="323"/>
        <v>0</v>
      </c>
      <c r="BA444" s="331">
        <f t="shared" si="323"/>
        <v>0</v>
      </c>
      <c r="BB444" s="331">
        <f t="shared" si="323"/>
        <v>0</v>
      </c>
      <c r="BC444" s="331">
        <f t="shared" si="323"/>
        <v>0</v>
      </c>
      <c r="BD444" s="331">
        <f t="shared" si="323"/>
        <v>0</v>
      </c>
      <c r="BE444" s="331">
        <f t="shared" si="323"/>
        <v>0</v>
      </c>
      <c r="BF444" s="331">
        <f t="shared" si="323"/>
        <v>0</v>
      </c>
      <c r="BG444" s="331">
        <f t="shared" si="323"/>
        <v>0</v>
      </c>
      <c r="BH444" s="331">
        <f t="shared" si="323"/>
        <v>0</v>
      </c>
      <c r="BI444" s="331">
        <f t="shared" si="323"/>
        <v>0</v>
      </c>
      <c r="BJ444" s="331">
        <f t="shared" si="323"/>
        <v>0</v>
      </c>
      <c r="BK444" s="331">
        <f t="shared" si="323"/>
        <v>0</v>
      </c>
      <c r="BL444" s="331">
        <f t="shared" si="323"/>
        <v>0</v>
      </c>
      <c r="BM444" s="331">
        <f t="shared" si="323"/>
        <v>0</v>
      </c>
      <c r="BN444" s="331"/>
      <c r="BO444" s="331"/>
      <c r="BP444" s="331"/>
      <c r="BQ444" s="331"/>
      <c r="BR444" s="331"/>
      <c r="BS444" s="331"/>
      <c r="BT444" s="331"/>
      <c r="BU444" s="331"/>
      <c r="BV444" s="331"/>
      <c r="BW444" s="331"/>
      <c r="BX444" s="331"/>
      <c r="BY444" s="331"/>
      <c r="BZ444" s="331"/>
      <c r="CA444" s="331"/>
      <c r="CB444" s="331"/>
      <c r="CC444" s="331"/>
      <c r="CD444" s="331"/>
      <c r="CE444" s="331"/>
      <c r="CF444" s="331"/>
      <c r="CG444" s="331"/>
      <c r="CH444" s="331"/>
      <c r="CI444" s="331"/>
      <c r="CJ444" s="331"/>
      <c r="CK444" s="331"/>
      <c r="CL444" s="331"/>
      <c r="CM444" s="331"/>
      <c r="CN444" s="331"/>
    </row>
    <row r="445" spans="5:93" ht="15.75">
      <c r="E445" s="416">
        <f t="shared" si="224"/>
        <v>44706</v>
      </c>
      <c r="F445" s="331"/>
      <c r="K445" s="331"/>
      <c r="M445" s="331"/>
      <c r="Y445" s="331"/>
      <c r="Z445" s="331"/>
      <c r="AA445" s="331"/>
      <c r="AB445" s="331"/>
      <c r="AC445" s="331"/>
      <c r="AD445" s="331"/>
      <c r="AE445" s="331"/>
      <c r="AF445" s="331"/>
      <c r="AG445" s="331"/>
      <c r="AH445" s="331"/>
      <c r="AI445" s="331"/>
      <c r="AJ445" s="331"/>
      <c r="AK445" s="331"/>
      <c r="AL445" s="331"/>
      <c r="AM445" s="331"/>
      <c r="AN445" s="331"/>
      <c r="AO445" s="331"/>
      <c r="AP445" s="331"/>
      <c r="AQ445" s="331"/>
      <c r="AR445" s="331"/>
      <c r="AS445" s="331"/>
      <c r="AT445" s="331">
        <f aca="true" t="shared" si="324" ref="AT445:BM445">+($F509/$F$9)</f>
        <v>0</v>
      </c>
      <c r="AU445" s="331">
        <f t="shared" si="324"/>
        <v>0</v>
      </c>
      <c r="AV445" s="331">
        <f t="shared" si="324"/>
        <v>0</v>
      </c>
      <c r="AW445" s="331">
        <f t="shared" si="324"/>
        <v>0</v>
      </c>
      <c r="AX445" s="331">
        <f t="shared" si="324"/>
        <v>0</v>
      </c>
      <c r="AY445" s="331">
        <f t="shared" si="324"/>
        <v>0</v>
      </c>
      <c r="AZ445" s="331">
        <f t="shared" si="324"/>
        <v>0</v>
      </c>
      <c r="BA445" s="331">
        <f t="shared" si="324"/>
        <v>0</v>
      </c>
      <c r="BB445" s="331">
        <f t="shared" si="324"/>
        <v>0</v>
      </c>
      <c r="BC445" s="331">
        <f t="shared" si="324"/>
        <v>0</v>
      </c>
      <c r="BD445" s="331">
        <f t="shared" si="324"/>
        <v>0</v>
      </c>
      <c r="BE445" s="331">
        <f t="shared" si="324"/>
        <v>0</v>
      </c>
      <c r="BF445" s="331">
        <f t="shared" si="324"/>
        <v>0</v>
      </c>
      <c r="BG445" s="331">
        <f t="shared" si="324"/>
        <v>0</v>
      </c>
      <c r="BH445" s="331">
        <f t="shared" si="324"/>
        <v>0</v>
      </c>
      <c r="BI445" s="331">
        <f t="shared" si="324"/>
        <v>0</v>
      </c>
      <c r="BJ445" s="331">
        <f t="shared" si="324"/>
        <v>0</v>
      </c>
      <c r="BK445" s="331">
        <f t="shared" si="324"/>
        <v>0</v>
      </c>
      <c r="BL445" s="331">
        <f t="shared" si="324"/>
        <v>0</v>
      </c>
      <c r="BM445" s="331">
        <f t="shared" si="324"/>
        <v>0</v>
      </c>
      <c r="BN445" s="331"/>
      <c r="BO445" s="331"/>
      <c r="BP445" s="331"/>
      <c r="BQ445" s="331"/>
      <c r="BR445" s="331"/>
      <c r="BS445" s="331"/>
      <c r="BT445" s="331"/>
      <c r="BU445" s="331"/>
      <c r="BV445" s="331"/>
      <c r="BW445" s="331"/>
      <c r="BX445" s="331"/>
      <c r="BY445" s="331"/>
      <c r="BZ445" s="331"/>
      <c r="CA445" s="331"/>
      <c r="CB445" s="331"/>
      <c r="CC445" s="331"/>
      <c r="CD445" s="331"/>
      <c r="CE445" s="331"/>
      <c r="CF445" s="331"/>
      <c r="CG445" s="331"/>
      <c r="CH445" s="331"/>
      <c r="CI445" s="331"/>
      <c r="CJ445" s="331"/>
      <c r="CK445" s="331"/>
      <c r="CL445" s="331"/>
      <c r="CM445" s="331"/>
      <c r="CN445" s="331"/>
      <c r="CO445" s="331"/>
    </row>
    <row r="446" spans="5:94" ht="15.75">
      <c r="E446" s="416">
        <f t="shared" si="224"/>
        <v>44737</v>
      </c>
      <c r="F446" s="331"/>
      <c r="K446" s="331"/>
      <c r="M446" s="331"/>
      <c r="Y446" s="331"/>
      <c r="Z446" s="331"/>
      <c r="AA446" s="331"/>
      <c r="AB446" s="331"/>
      <c r="AC446" s="331"/>
      <c r="AD446" s="331"/>
      <c r="AE446" s="331"/>
      <c r="AF446" s="331"/>
      <c r="AG446" s="331"/>
      <c r="AH446" s="331"/>
      <c r="AI446" s="331"/>
      <c r="AJ446" s="331"/>
      <c r="AK446" s="331"/>
      <c r="AL446" s="331"/>
      <c r="AM446" s="331"/>
      <c r="AN446" s="331"/>
      <c r="AO446" s="331"/>
      <c r="AP446" s="331"/>
      <c r="AQ446" s="331"/>
      <c r="AR446" s="331"/>
      <c r="AS446" s="331"/>
      <c r="AT446" s="331"/>
      <c r="AU446" s="331">
        <f aca="true" t="shared" si="325" ref="AU446:BM446">+($F510/$F$9)</f>
        <v>0</v>
      </c>
      <c r="AV446" s="331">
        <f t="shared" si="325"/>
        <v>0</v>
      </c>
      <c r="AW446" s="331">
        <f t="shared" si="325"/>
        <v>0</v>
      </c>
      <c r="AX446" s="331">
        <f t="shared" si="325"/>
        <v>0</v>
      </c>
      <c r="AY446" s="331">
        <f t="shared" si="325"/>
        <v>0</v>
      </c>
      <c r="AZ446" s="331">
        <f t="shared" si="325"/>
        <v>0</v>
      </c>
      <c r="BA446" s="331">
        <f t="shared" si="325"/>
        <v>0</v>
      </c>
      <c r="BB446" s="331">
        <f t="shared" si="325"/>
        <v>0</v>
      </c>
      <c r="BC446" s="331">
        <f t="shared" si="325"/>
        <v>0</v>
      </c>
      <c r="BD446" s="331">
        <f t="shared" si="325"/>
        <v>0</v>
      </c>
      <c r="BE446" s="331">
        <f t="shared" si="325"/>
        <v>0</v>
      </c>
      <c r="BF446" s="331">
        <f t="shared" si="325"/>
        <v>0</v>
      </c>
      <c r="BG446" s="331">
        <f t="shared" si="325"/>
        <v>0</v>
      </c>
      <c r="BH446" s="331">
        <f t="shared" si="325"/>
        <v>0</v>
      </c>
      <c r="BI446" s="331">
        <f t="shared" si="325"/>
        <v>0</v>
      </c>
      <c r="BJ446" s="331">
        <f t="shared" si="325"/>
        <v>0</v>
      </c>
      <c r="BK446" s="331">
        <f t="shared" si="325"/>
        <v>0</v>
      </c>
      <c r="BL446" s="331">
        <f t="shared" si="325"/>
        <v>0</v>
      </c>
      <c r="BM446" s="331">
        <f t="shared" si="325"/>
        <v>0</v>
      </c>
      <c r="BN446" s="331"/>
      <c r="BO446" s="331"/>
      <c r="BP446" s="331"/>
      <c r="BQ446" s="331"/>
      <c r="BR446" s="331"/>
      <c r="BS446" s="331"/>
      <c r="BT446" s="331"/>
      <c r="BU446" s="331"/>
      <c r="BV446" s="331"/>
      <c r="BW446" s="331"/>
      <c r="BX446" s="331"/>
      <c r="BY446" s="331"/>
      <c r="BZ446" s="331"/>
      <c r="CA446" s="331"/>
      <c r="CB446" s="331"/>
      <c r="CC446" s="331"/>
      <c r="CD446" s="331"/>
      <c r="CE446" s="331"/>
      <c r="CF446" s="331"/>
      <c r="CG446" s="331"/>
      <c r="CH446" s="331"/>
      <c r="CI446" s="331"/>
      <c r="CJ446" s="331"/>
      <c r="CK446" s="331"/>
      <c r="CL446" s="331"/>
      <c r="CM446" s="331"/>
      <c r="CN446" s="331"/>
      <c r="CO446" s="331"/>
      <c r="CP446" s="331"/>
    </row>
    <row r="447" spans="5:95" ht="15.75">
      <c r="E447" s="416">
        <f t="shared" si="224"/>
        <v>44768</v>
      </c>
      <c r="F447" s="331"/>
      <c r="K447" s="331"/>
      <c r="M447" s="331"/>
      <c r="Y447" s="331"/>
      <c r="Z447" s="331"/>
      <c r="AA447" s="331"/>
      <c r="AB447" s="331"/>
      <c r="AC447" s="331"/>
      <c r="AD447" s="331"/>
      <c r="AE447" s="331"/>
      <c r="AF447" s="331"/>
      <c r="AG447" s="331"/>
      <c r="AH447" s="331"/>
      <c r="AI447" s="331"/>
      <c r="AJ447" s="331"/>
      <c r="AK447" s="331"/>
      <c r="AL447" s="331"/>
      <c r="AM447" s="331"/>
      <c r="AN447" s="331"/>
      <c r="AO447" s="331"/>
      <c r="AP447" s="331"/>
      <c r="AQ447" s="331"/>
      <c r="AR447" s="331"/>
      <c r="AS447" s="331"/>
      <c r="AT447" s="331"/>
      <c r="AU447" s="331"/>
      <c r="AV447" s="331">
        <f aca="true" t="shared" si="326" ref="AV447:BM447">+($F511/$F$9)</f>
        <v>0</v>
      </c>
      <c r="AW447" s="331">
        <f t="shared" si="326"/>
        <v>0</v>
      </c>
      <c r="AX447" s="331">
        <f t="shared" si="326"/>
        <v>0</v>
      </c>
      <c r="AY447" s="331">
        <f t="shared" si="326"/>
        <v>0</v>
      </c>
      <c r="AZ447" s="331">
        <f t="shared" si="326"/>
        <v>0</v>
      </c>
      <c r="BA447" s="331">
        <f t="shared" si="326"/>
        <v>0</v>
      </c>
      <c r="BB447" s="331">
        <f t="shared" si="326"/>
        <v>0</v>
      </c>
      <c r="BC447" s="331">
        <f t="shared" si="326"/>
        <v>0</v>
      </c>
      <c r="BD447" s="331">
        <f t="shared" si="326"/>
        <v>0</v>
      </c>
      <c r="BE447" s="331">
        <f t="shared" si="326"/>
        <v>0</v>
      </c>
      <c r="BF447" s="331">
        <f t="shared" si="326"/>
        <v>0</v>
      </c>
      <c r="BG447" s="331">
        <f t="shared" si="326"/>
        <v>0</v>
      </c>
      <c r="BH447" s="331">
        <f t="shared" si="326"/>
        <v>0</v>
      </c>
      <c r="BI447" s="331">
        <f t="shared" si="326"/>
        <v>0</v>
      </c>
      <c r="BJ447" s="331">
        <f t="shared" si="326"/>
        <v>0</v>
      </c>
      <c r="BK447" s="331">
        <f t="shared" si="326"/>
        <v>0</v>
      </c>
      <c r="BL447" s="331">
        <f t="shared" si="326"/>
        <v>0</v>
      </c>
      <c r="BM447" s="331">
        <f t="shared" si="326"/>
        <v>0</v>
      </c>
      <c r="BN447" s="331"/>
      <c r="BO447" s="331"/>
      <c r="BP447" s="331"/>
      <c r="BQ447" s="331"/>
      <c r="BR447" s="331"/>
      <c r="BS447" s="331"/>
      <c r="BT447" s="331"/>
      <c r="BU447" s="331"/>
      <c r="BV447" s="331"/>
      <c r="BW447" s="331"/>
      <c r="BX447" s="331"/>
      <c r="BY447" s="331"/>
      <c r="BZ447" s="331"/>
      <c r="CA447" s="331"/>
      <c r="CB447" s="331"/>
      <c r="CC447" s="331"/>
      <c r="CD447" s="331"/>
      <c r="CE447" s="331"/>
      <c r="CF447" s="331"/>
      <c r="CG447" s="331"/>
      <c r="CH447" s="331"/>
      <c r="CI447" s="331"/>
      <c r="CJ447" s="331"/>
      <c r="CK447" s="331"/>
      <c r="CL447" s="331"/>
      <c r="CM447" s="331"/>
      <c r="CN447" s="331"/>
      <c r="CO447" s="331"/>
      <c r="CP447" s="331"/>
      <c r="CQ447" s="331"/>
    </row>
    <row r="448" spans="5:96" ht="15.75">
      <c r="E448" s="416">
        <f t="shared" si="224"/>
        <v>44799</v>
      </c>
      <c r="F448" s="331"/>
      <c r="K448" s="331"/>
      <c r="M448" s="331"/>
      <c r="Y448" s="331"/>
      <c r="Z448" s="331"/>
      <c r="AA448" s="331"/>
      <c r="AB448" s="331"/>
      <c r="AC448" s="331"/>
      <c r="AD448" s="331"/>
      <c r="AE448" s="331"/>
      <c r="AF448" s="331"/>
      <c r="AG448" s="331"/>
      <c r="AH448" s="331"/>
      <c r="AI448" s="331"/>
      <c r="AJ448" s="331"/>
      <c r="AK448" s="331"/>
      <c r="AL448" s="331"/>
      <c r="AM448" s="331"/>
      <c r="AN448" s="331"/>
      <c r="AO448" s="331"/>
      <c r="AP448" s="331"/>
      <c r="AQ448" s="331"/>
      <c r="AR448" s="331"/>
      <c r="AS448" s="331"/>
      <c r="AT448" s="331"/>
      <c r="AU448" s="331"/>
      <c r="AV448" s="331"/>
      <c r="AW448" s="331">
        <f>+($F512/$F$9)</f>
        <v>0</v>
      </c>
      <c r="AX448" s="331">
        <f>+($F512/$F$9)</f>
        <v>0</v>
      </c>
      <c r="AY448" s="331">
        <f>+($F512/$F$9)</f>
        <v>0</v>
      </c>
      <c r="AZ448" s="331">
        <f>+($F512/$F$9)</f>
        <v>0</v>
      </c>
      <c r="BA448" s="331">
        <f>+($F512/$F$9)</f>
        <v>0</v>
      </c>
      <c r="BB448" s="331">
        <f aca="true" t="shared" si="327" ref="BB448:BM448">+($F512/$F$9)</f>
        <v>0</v>
      </c>
      <c r="BC448" s="331">
        <f t="shared" si="327"/>
        <v>0</v>
      </c>
      <c r="BD448" s="331">
        <f t="shared" si="327"/>
        <v>0</v>
      </c>
      <c r="BE448" s="331">
        <f t="shared" si="327"/>
        <v>0</v>
      </c>
      <c r="BF448" s="331">
        <f t="shared" si="327"/>
        <v>0</v>
      </c>
      <c r="BG448" s="331">
        <f t="shared" si="327"/>
        <v>0</v>
      </c>
      <c r="BH448" s="331">
        <f t="shared" si="327"/>
        <v>0</v>
      </c>
      <c r="BI448" s="331">
        <f t="shared" si="327"/>
        <v>0</v>
      </c>
      <c r="BJ448" s="331">
        <f t="shared" si="327"/>
        <v>0</v>
      </c>
      <c r="BK448" s="331">
        <f t="shared" si="327"/>
        <v>0</v>
      </c>
      <c r="BL448" s="331">
        <f t="shared" si="327"/>
        <v>0</v>
      </c>
      <c r="BM448" s="331">
        <f t="shared" si="327"/>
        <v>0</v>
      </c>
      <c r="BN448" s="331"/>
      <c r="BO448" s="331"/>
      <c r="BP448" s="331"/>
      <c r="BQ448" s="331"/>
      <c r="BR448" s="331"/>
      <c r="BS448" s="331"/>
      <c r="BT448" s="331"/>
      <c r="BU448" s="331"/>
      <c r="BV448" s="331"/>
      <c r="BW448" s="331"/>
      <c r="BX448" s="331"/>
      <c r="BY448" s="331"/>
      <c r="BZ448" s="331"/>
      <c r="CA448" s="331"/>
      <c r="CB448" s="331"/>
      <c r="CC448" s="331"/>
      <c r="CD448" s="331"/>
      <c r="CE448" s="331"/>
      <c r="CF448" s="331"/>
      <c r="CG448" s="331"/>
      <c r="CH448" s="331"/>
      <c r="CI448" s="331"/>
      <c r="CJ448" s="331"/>
      <c r="CK448" s="331"/>
      <c r="CL448" s="331"/>
      <c r="CM448" s="331"/>
      <c r="CN448" s="331"/>
      <c r="CO448" s="331"/>
      <c r="CP448" s="331"/>
      <c r="CQ448" s="331"/>
      <c r="CR448" s="331"/>
    </row>
    <row r="449" spans="5:97" ht="15.75">
      <c r="E449" s="416">
        <f t="shared" si="224"/>
        <v>44830</v>
      </c>
      <c r="F449" s="331"/>
      <c r="K449" s="331"/>
      <c r="M449" s="331"/>
      <c r="Y449" s="331"/>
      <c r="Z449" s="331"/>
      <c r="AA449" s="331"/>
      <c r="AB449" s="331"/>
      <c r="AC449" s="331"/>
      <c r="AD449" s="331"/>
      <c r="AE449" s="331"/>
      <c r="AF449" s="331"/>
      <c r="AG449" s="331"/>
      <c r="AH449" s="331"/>
      <c r="AI449" s="331"/>
      <c r="AJ449" s="331"/>
      <c r="AK449" s="331"/>
      <c r="AL449" s="331"/>
      <c r="AM449" s="331"/>
      <c r="AN449" s="331"/>
      <c r="AO449" s="331"/>
      <c r="AP449" s="331"/>
      <c r="AQ449" s="331"/>
      <c r="AR449" s="331"/>
      <c r="AS449" s="331"/>
      <c r="AT449" s="331"/>
      <c r="AU449" s="331"/>
      <c r="AV449" s="331"/>
      <c r="AW449" s="331"/>
      <c r="AX449" s="331">
        <f>+($F513/$F$9)</f>
        <v>0</v>
      </c>
      <c r="AY449" s="331">
        <f>+($F513/$F$9)</f>
        <v>0</v>
      </c>
      <c r="AZ449" s="331">
        <f>+($F513/$F$9)</f>
        <v>0</v>
      </c>
      <c r="BA449" s="331">
        <f>+($F513/$F$9)</f>
        <v>0</v>
      </c>
      <c r="BB449" s="331">
        <f aca="true" t="shared" si="328" ref="BB449:BM449">+($F513/$F$9)</f>
        <v>0</v>
      </c>
      <c r="BC449" s="331">
        <f t="shared" si="328"/>
        <v>0</v>
      </c>
      <c r="BD449" s="331">
        <f t="shared" si="328"/>
        <v>0</v>
      </c>
      <c r="BE449" s="331">
        <f t="shared" si="328"/>
        <v>0</v>
      </c>
      <c r="BF449" s="331">
        <f t="shared" si="328"/>
        <v>0</v>
      </c>
      <c r="BG449" s="331">
        <f t="shared" si="328"/>
        <v>0</v>
      </c>
      <c r="BH449" s="331">
        <f t="shared" si="328"/>
        <v>0</v>
      </c>
      <c r="BI449" s="331">
        <f t="shared" si="328"/>
        <v>0</v>
      </c>
      <c r="BJ449" s="331">
        <f t="shared" si="328"/>
        <v>0</v>
      </c>
      <c r="BK449" s="331">
        <f t="shared" si="328"/>
        <v>0</v>
      </c>
      <c r="BL449" s="331">
        <f t="shared" si="328"/>
        <v>0</v>
      </c>
      <c r="BM449" s="331">
        <f t="shared" si="328"/>
        <v>0</v>
      </c>
      <c r="BN449" s="331"/>
      <c r="BO449" s="331"/>
      <c r="BP449" s="331"/>
      <c r="BQ449" s="331"/>
      <c r="BR449" s="331"/>
      <c r="BS449" s="331"/>
      <c r="BT449" s="331"/>
      <c r="BU449" s="331"/>
      <c r="BV449" s="331"/>
      <c r="BW449" s="331"/>
      <c r="BX449" s="331"/>
      <c r="BY449" s="331"/>
      <c r="BZ449" s="331"/>
      <c r="CA449" s="331"/>
      <c r="CB449" s="331"/>
      <c r="CC449" s="331"/>
      <c r="CD449" s="331"/>
      <c r="CE449" s="331"/>
      <c r="CF449" s="331"/>
      <c r="CG449" s="331"/>
      <c r="CH449" s="331"/>
      <c r="CI449" s="331"/>
      <c r="CJ449" s="331"/>
      <c r="CK449" s="331"/>
      <c r="CL449" s="331"/>
      <c r="CM449" s="331"/>
      <c r="CN449" s="331"/>
      <c r="CO449" s="331"/>
      <c r="CP449" s="331"/>
      <c r="CQ449" s="331"/>
      <c r="CR449" s="331"/>
      <c r="CS449" s="331"/>
    </row>
    <row r="450" spans="5:98" ht="15.75">
      <c r="E450" s="416">
        <f t="shared" si="224"/>
        <v>44861</v>
      </c>
      <c r="F450" s="331"/>
      <c r="K450" s="331"/>
      <c r="M450" s="331"/>
      <c r="Y450" s="331"/>
      <c r="Z450" s="331"/>
      <c r="AA450" s="331"/>
      <c r="AB450" s="331"/>
      <c r="AC450" s="331"/>
      <c r="AD450" s="331"/>
      <c r="AE450" s="331"/>
      <c r="AF450" s="331"/>
      <c r="AG450" s="331"/>
      <c r="AH450" s="331"/>
      <c r="AI450" s="331"/>
      <c r="AJ450" s="331"/>
      <c r="AK450" s="331"/>
      <c r="AL450" s="331"/>
      <c r="AM450" s="331"/>
      <c r="AN450" s="331"/>
      <c r="AO450" s="331"/>
      <c r="AP450" s="331"/>
      <c r="AQ450" s="331"/>
      <c r="AR450" s="331"/>
      <c r="AS450" s="331"/>
      <c r="AT450" s="331"/>
      <c r="AU450" s="331"/>
      <c r="AV450" s="331"/>
      <c r="AW450" s="331"/>
      <c r="AX450" s="331"/>
      <c r="AY450" s="331">
        <f>+($F514/$F$9)</f>
        <v>0</v>
      </c>
      <c r="AZ450" s="331">
        <f>+($F514/$F$9)</f>
        <v>0</v>
      </c>
      <c r="BA450" s="331">
        <f>+($F514/$F$9)</f>
        <v>0</v>
      </c>
      <c r="BB450" s="331">
        <f aca="true" t="shared" si="329" ref="BB450:BM450">+($F514/$F$9)</f>
        <v>0</v>
      </c>
      <c r="BC450" s="331">
        <f t="shared" si="329"/>
        <v>0</v>
      </c>
      <c r="BD450" s="331">
        <f t="shared" si="329"/>
        <v>0</v>
      </c>
      <c r="BE450" s="331">
        <f t="shared" si="329"/>
        <v>0</v>
      </c>
      <c r="BF450" s="331">
        <f t="shared" si="329"/>
        <v>0</v>
      </c>
      <c r="BG450" s="331">
        <f t="shared" si="329"/>
        <v>0</v>
      </c>
      <c r="BH450" s="331">
        <f t="shared" si="329"/>
        <v>0</v>
      </c>
      <c r="BI450" s="331">
        <f t="shared" si="329"/>
        <v>0</v>
      </c>
      <c r="BJ450" s="331">
        <f t="shared" si="329"/>
        <v>0</v>
      </c>
      <c r="BK450" s="331">
        <f t="shared" si="329"/>
        <v>0</v>
      </c>
      <c r="BL450" s="331">
        <f t="shared" si="329"/>
        <v>0</v>
      </c>
      <c r="BM450" s="331">
        <f t="shared" si="329"/>
        <v>0</v>
      </c>
      <c r="BN450" s="331"/>
      <c r="BO450" s="331"/>
      <c r="BP450" s="331"/>
      <c r="BQ450" s="331"/>
      <c r="BR450" s="331"/>
      <c r="BS450" s="331"/>
      <c r="BT450" s="331"/>
      <c r="BU450" s="331"/>
      <c r="BV450" s="331"/>
      <c r="BW450" s="331"/>
      <c r="BX450" s="331"/>
      <c r="BY450" s="331"/>
      <c r="BZ450" s="331"/>
      <c r="CA450" s="331"/>
      <c r="CB450" s="331"/>
      <c r="CC450" s="331"/>
      <c r="CD450" s="331"/>
      <c r="CE450" s="331"/>
      <c r="CF450" s="331"/>
      <c r="CG450" s="331"/>
      <c r="CH450" s="331"/>
      <c r="CI450" s="331"/>
      <c r="CJ450" s="331"/>
      <c r="CK450" s="331"/>
      <c r="CL450" s="331"/>
      <c r="CM450" s="331"/>
      <c r="CN450" s="331"/>
      <c r="CO450" s="331"/>
      <c r="CP450" s="331"/>
      <c r="CQ450" s="331"/>
      <c r="CR450" s="331"/>
      <c r="CS450" s="331"/>
      <c r="CT450" s="331"/>
    </row>
    <row r="451" spans="5:99" ht="15.75">
      <c r="E451" s="416">
        <f t="shared" si="224"/>
        <v>44892</v>
      </c>
      <c r="F451" s="331"/>
      <c r="K451" s="331"/>
      <c r="M451" s="331"/>
      <c r="Y451" s="331"/>
      <c r="Z451" s="331"/>
      <c r="AA451" s="331"/>
      <c r="AB451" s="331"/>
      <c r="AC451" s="331"/>
      <c r="AD451" s="331"/>
      <c r="AE451" s="331"/>
      <c r="AF451" s="331"/>
      <c r="AG451" s="331"/>
      <c r="AH451" s="331"/>
      <c r="AI451" s="331"/>
      <c r="AJ451" s="331"/>
      <c r="AK451" s="331"/>
      <c r="AL451" s="331"/>
      <c r="AM451" s="331"/>
      <c r="AN451" s="331"/>
      <c r="AO451" s="331"/>
      <c r="AP451" s="331"/>
      <c r="AQ451" s="331"/>
      <c r="AR451" s="331"/>
      <c r="AS451" s="331"/>
      <c r="AT451" s="331"/>
      <c r="AU451" s="331"/>
      <c r="AV451" s="331"/>
      <c r="AW451" s="331"/>
      <c r="AX451" s="331"/>
      <c r="AY451" s="331"/>
      <c r="AZ451" s="331">
        <f>+($F515/$F$9)</f>
        <v>0</v>
      </c>
      <c r="BA451" s="331">
        <f>+($F515/$F$9)</f>
        <v>0</v>
      </c>
      <c r="BB451" s="331">
        <f aca="true" t="shared" si="330" ref="BB451:BM451">+($F515/$F$9)</f>
        <v>0</v>
      </c>
      <c r="BC451" s="331">
        <f t="shared" si="330"/>
        <v>0</v>
      </c>
      <c r="BD451" s="331">
        <f t="shared" si="330"/>
        <v>0</v>
      </c>
      <c r="BE451" s="331">
        <f t="shared" si="330"/>
        <v>0</v>
      </c>
      <c r="BF451" s="331">
        <f t="shared" si="330"/>
        <v>0</v>
      </c>
      <c r="BG451" s="331">
        <f t="shared" si="330"/>
        <v>0</v>
      </c>
      <c r="BH451" s="331">
        <f t="shared" si="330"/>
        <v>0</v>
      </c>
      <c r="BI451" s="331">
        <f t="shared" si="330"/>
        <v>0</v>
      </c>
      <c r="BJ451" s="331">
        <f t="shared" si="330"/>
        <v>0</v>
      </c>
      <c r="BK451" s="331">
        <f t="shared" si="330"/>
        <v>0</v>
      </c>
      <c r="BL451" s="331">
        <f t="shared" si="330"/>
        <v>0</v>
      </c>
      <c r="BM451" s="331">
        <f t="shared" si="330"/>
        <v>0</v>
      </c>
      <c r="BN451" s="331"/>
      <c r="BO451" s="331"/>
      <c r="BP451" s="331"/>
      <c r="BQ451" s="331"/>
      <c r="BR451" s="331"/>
      <c r="BS451" s="331"/>
      <c r="BT451" s="331"/>
      <c r="BU451" s="331"/>
      <c r="BV451" s="331"/>
      <c r="BW451" s="331"/>
      <c r="BX451" s="331"/>
      <c r="BY451" s="331"/>
      <c r="BZ451" s="331"/>
      <c r="CA451" s="331"/>
      <c r="CB451" s="331"/>
      <c r="CC451" s="331"/>
      <c r="CD451" s="331"/>
      <c r="CE451" s="331"/>
      <c r="CF451" s="331"/>
      <c r="CG451" s="331"/>
      <c r="CH451" s="331"/>
      <c r="CI451" s="331"/>
      <c r="CJ451" s="331"/>
      <c r="CK451" s="331"/>
      <c r="CL451" s="331"/>
      <c r="CM451" s="331"/>
      <c r="CN451" s="331"/>
      <c r="CO451" s="331"/>
      <c r="CP451" s="331"/>
      <c r="CQ451" s="331"/>
      <c r="CR451" s="331"/>
      <c r="CS451" s="331"/>
      <c r="CT451" s="331"/>
      <c r="CU451" s="331"/>
    </row>
    <row r="452" spans="5:100" ht="15.75">
      <c r="E452" s="416">
        <f t="shared" si="224"/>
        <v>44923</v>
      </c>
      <c r="F452" s="331"/>
      <c r="K452" s="331"/>
      <c r="M452" s="331"/>
      <c r="Y452" s="331"/>
      <c r="Z452" s="331"/>
      <c r="AA452" s="331"/>
      <c r="AB452" s="331"/>
      <c r="AC452" s="331"/>
      <c r="AD452" s="331"/>
      <c r="AE452" s="331"/>
      <c r="AF452" s="331"/>
      <c r="AG452" s="331"/>
      <c r="AH452" s="331"/>
      <c r="AI452" s="331"/>
      <c r="AJ452" s="331"/>
      <c r="AK452" s="331"/>
      <c r="AL452" s="331"/>
      <c r="AM452" s="331"/>
      <c r="AN452" s="331"/>
      <c r="AO452" s="331"/>
      <c r="AP452" s="331"/>
      <c r="AQ452" s="331"/>
      <c r="AR452" s="331"/>
      <c r="AS452" s="331"/>
      <c r="AT452" s="331"/>
      <c r="AU452" s="331"/>
      <c r="AV452" s="331"/>
      <c r="AW452" s="331"/>
      <c r="AX452" s="331"/>
      <c r="AY452" s="331"/>
      <c r="AZ452" s="331"/>
      <c r="BA452" s="331">
        <f>+($F516/$F$9)</f>
        <v>0</v>
      </c>
      <c r="BB452" s="331">
        <f aca="true" t="shared" si="331" ref="BB452:BM452">+($F516/$F$9)</f>
        <v>0</v>
      </c>
      <c r="BC452" s="331">
        <f t="shared" si="331"/>
        <v>0</v>
      </c>
      <c r="BD452" s="331">
        <f t="shared" si="331"/>
        <v>0</v>
      </c>
      <c r="BE452" s="331">
        <f t="shared" si="331"/>
        <v>0</v>
      </c>
      <c r="BF452" s="331">
        <f t="shared" si="331"/>
        <v>0</v>
      </c>
      <c r="BG452" s="331">
        <f t="shared" si="331"/>
        <v>0</v>
      </c>
      <c r="BH452" s="331">
        <f t="shared" si="331"/>
        <v>0</v>
      </c>
      <c r="BI452" s="331">
        <f t="shared" si="331"/>
        <v>0</v>
      </c>
      <c r="BJ452" s="331">
        <f t="shared" si="331"/>
        <v>0</v>
      </c>
      <c r="BK452" s="331">
        <f t="shared" si="331"/>
        <v>0</v>
      </c>
      <c r="BL452" s="331">
        <f t="shared" si="331"/>
        <v>0</v>
      </c>
      <c r="BM452" s="331">
        <f t="shared" si="331"/>
        <v>0</v>
      </c>
      <c r="BN452" s="331"/>
      <c r="BO452" s="331"/>
      <c r="BP452" s="331"/>
      <c r="BQ452" s="331"/>
      <c r="BR452" s="331"/>
      <c r="BS452" s="331"/>
      <c r="BT452" s="331"/>
      <c r="BU452" s="331"/>
      <c r="BV452" s="331"/>
      <c r="BW452" s="331"/>
      <c r="BX452" s="331"/>
      <c r="BY452" s="331"/>
      <c r="BZ452" s="331"/>
      <c r="CA452" s="331"/>
      <c r="CB452" s="331"/>
      <c r="CC452" s="331"/>
      <c r="CD452" s="331"/>
      <c r="CE452" s="331"/>
      <c r="CF452" s="331"/>
      <c r="CG452" s="331"/>
      <c r="CH452" s="331"/>
      <c r="CI452" s="331"/>
      <c r="CJ452" s="331"/>
      <c r="CK452" s="331"/>
      <c r="CL452" s="331"/>
      <c r="CM452" s="331"/>
      <c r="CN452" s="331"/>
      <c r="CO452" s="331"/>
      <c r="CP452" s="331"/>
      <c r="CQ452" s="331"/>
      <c r="CR452" s="331"/>
      <c r="CS452" s="331"/>
      <c r="CT452" s="331"/>
      <c r="CU452" s="331"/>
      <c r="CV452" s="331"/>
    </row>
    <row r="453" spans="5:65" ht="15.75">
      <c r="E453" s="416">
        <f t="shared" si="224"/>
        <v>44954</v>
      </c>
      <c r="F453" s="331"/>
      <c r="G453" s="331"/>
      <c r="H453" s="331"/>
      <c r="I453" s="331"/>
      <c r="J453" s="331"/>
      <c r="K453" s="331"/>
      <c r="L453" s="331"/>
      <c r="M453" s="331"/>
      <c r="N453" s="331"/>
      <c r="O453" s="331"/>
      <c r="P453" s="331"/>
      <c r="Q453" s="331"/>
      <c r="R453" s="331"/>
      <c r="S453" s="331"/>
      <c r="T453" s="331"/>
      <c r="U453" s="331"/>
      <c r="V453" s="331"/>
      <c r="W453" s="331"/>
      <c r="X453" s="331"/>
      <c r="Y453" s="331"/>
      <c r="Z453" s="331"/>
      <c r="AA453" s="331"/>
      <c r="AB453" s="331"/>
      <c r="AC453" s="331"/>
      <c r="AD453" s="331"/>
      <c r="AE453" s="331"/>
      <c r="AF453" s="331"/>
      <c r="AG453" s="331"/>
      <c r="AH453" s="331"/>
      <c r="AI453" s="331"/>
      <c r="AJ453" s="331"/>
      <c r="AK453" s="331"/>
      <c r="AL453" s="331"/>
      <c r="AM453" s="331"/>
      <c r="AN453" s="331"/>
      <c r="AO453" s="331"/>
      <c r="AP453" s="331"/>
      <c r="AQ453" s="331"/>
      <c r="AR453" s="331"/>
      <c r="AS453" s="331"/>
      <c r="AT453" s="331"/>
      <c r="AU453" s="331"/>
      <c r="AV453" s="331"/>
      <c r="AW453" s="331"/>
      <c r="AX453" s="331"/>
      <c r="AY453" s="331"/>
      <c r="AZ453" s="331"/>
      <c r="BA453" s="331"/>
      <c r="BB453" s="331">
        <f aca="true" t="shared" si="332" ref="BB453:BM453">+($F517/$F$9)</f>
        <v>0</v>
      </c>
      <c r="BC453" s="331">
        <f t="shared" si="332"/>
        <v>0</v>
      </c>
      <c r="BD453" s="331">
        <f t="shared" si="332"/>
        <v>0</v>
      </c>
      <c r="BE453" s="331">
        <f t="shared" si="332"/>
        <v>0</v>
      </c>
      <c r="BF453" s="331">
        <f t="shared" si="332"/>
        <v>0</v>
      </c>
      <c r="BG453" s="331">
        <f t="shared" si="332"/>
        <v>0</v>
      </c>
      <c r="BH453" s="331">
        <f t="shared" si="332"/>
        <v>0</v>
      </c>
      <c r="BI453" s="331">
        <f t="shared" si="332"/>
        <v>0</v>
      </c>
      <c r="BJ453" s="331">
        <f t="shared" si="332"/>
        <v>0</v>
      </c>
      <c r="BK453" s="331">
        <f t="shared" si="332"/>
        <v>0</v>
      </c>
      <c r="BL453" s="331">
        <f t="shared" si="332"/>
        <v>0</v>
      </c>
      <c r="BM453" s="331">
        <f t="shared" si="332"/>
        <v>0</v>
      </c>
    </row>
    <row r="454" spans="5:65" ht="15.75">
      <c r="E454" s="416">
        <f t="shared" si="224"/>
        <v>44985</v>
      </c>
      <c r="F454" s="331"/>
      <c r="G454" s="331"/>
      <c r="H454" s="331"/>
      <c r="I454" s="331"/>
      <c r="J454" s="331"/>
      <c r="K454" s="331"/>
      <c r="L454" s="331"/>
      <c r="M454" s="331"/>
      <c r="N454" s="331"/>
      <c r="O454" s="331"/>
      <c r="P454" s="331"/>
      <c r="Q454" s="331"/>
      <c r="R454" s="331"/>
      <c r="S454" s="331"/>
      <c r="T454" s="331"/>
      <c r="U454" s="331"/>
      <c r="V454" s="331"/>
      <c r="W454" s="331"/>
      <c r="X454" s="331"/>
      <c r="Y454" s="331"/>
      <c r="Z454" s="331"/>
      <c r="AA454" s="331"/>
      <c r="AB454" s="331"/>
      <c r="AC454" s="331"/>
      <c r="AD454" s="331"/>
      <c r="AE454" s="331"/>
      <c r="AF454" s="331"/>
      <c r="AG454" s="331"/>
      <c r="AH454" s="331"/>
      <c r="AI454" s="331"/>
      <c r="AJ454" s="331"/>
      <c r="AK454" s="331"/>
      <c r="AL454" s="331"/>
      <c r="AM454" s="331"/>
      <c r="AN454" s="331"/>
      <c r="AO454" s="331"/>
      <c r="AP454" s="331"/>
      <c r="AQ454" s="331"/>
      <c r="AR454" s="331"/>
      <c r="AS454" s="331"/>
      <c r="AT454" s="331"/>
      <c r="AU454" s="331"/>
      <c r="AV454" s="331"/>
      <c r="AW454" s="331"/>
      <c r="AX454" s="331"/>
      <c r="AY454" s="331"/>
      <c r="AZ454" s="331"/>
      <c r="BA454" s="331"/>
      <c r="BB454" s="331"/>
      <c r="BC454" s="331">
        <f aca="true" t="shared" si="333" ref="BC454:BM454">+($F518/$F$9)</f>
        <v>0</v>
      </c>
      <c r="BD454" s="331">
        <f t="shared" si="333"/>
        <v>0</v>
      </c>
      <c r="BE454" s="331">
        <f t="shared" si="333"/>
        <v>0</v>
      </c>
      <c r="BF454" s="331">
        <f t="shared" si="333"/>
        <v>0</v>
      </c>
      <c r="BG454" s="331">
        <f t="shared" si="333"/>
        <v>0</v>
      </c>
      <c r="BH454" s="331">
        <f t="shared" si="333"/>
        <v>0</v>
      </c>
      <c r="BI454" s="331">
        <f t="shared" si="333"/>
        <v>0</v>
      </c>
      <c r="BJ454" s="331">
        <f t="shared" si="333"/>
        <v>0</v>
      </c>
      <c r="BK454" s="331">
        <f t="shared" si="333"/>
        <v>0</v>
      </c>
      <c r="BL454" s="331">
        <f t="shared" si="333"/>
        <v>0</v>
      </c>
      <c r="BM454" s="331">
        <f t="shared" si="333"/>
        <v>0</v>
      </c>
    </row>
    <row r="455" spans="5:65" ht="15.75">
      <c r="E455" s="416">
        <f t="shared" si="224"/>
        <v>45016</v>
      </c>
      <c r="F455" s="331"/>
      <c r="G455" s="331"/>
      <c r="H455" s="331"/>
      <c r="I455" s="331"/>
      <c r="J455" s="331"/>
      <c r="K455" s="331"/>
      <c r="L455" s="331"/>
      <c r="M455" s="331"/>
      <c r="N455" s="331"/>
      <c r="O455" s="331"/>
      <c r="P455" s="331"/>
      <c r="Q455" s="331"/>
      <c r="R455" s="331"/>
      <c r="S455" s="331"/>
      <c r="T455" s="331"/>
      <c r="U455" s="331"/>
      <c r="V455" s="331"/>
      <c r="W455" s="331"/>
      <c r="X455" s="331"/>
      <c r="Y455" s="331"/>
      <c r="Z455" s="331"/>
      <c r="AA455" s="331"/>
      <c r="AB455" s="331"/>
      <c r="AC455" s="331"/>
      <c r="AD455" s="331"/>
      <c r="AE455" s="331"/>
      <c r="AF455" s="331"/>
      <c r="AG455" s="331"/>
      <c r="AH455" s="331"/>
      <c r="AI455" s="331"/>
      <c r="AJ455" s="331"/>
      <c r="AK455" s="331"/>
      <c r="AL455" s="331"/>
      <c r="AM455" s="331"/>
      <c r="AN455" s="331"/>
      <c r="AO455" s="331"/>
      <c r="AP455" s="331"/>
      <c r="AQ455" s="331"/>
      <c r="AR455" s="331"/>
      <c r="AS455" s="331"/>
      <c r="AT455" s="331"/>
      <c r="AU455" s="331"/>
      <c r="AV455" s="331"/>
      <c r="AW455" s="331"/>
      <c r="AX455" s="331"/>
      <c r="AY455" s="331"/>
      <c r="AZ455" s="331"/>
      <c r="BA455" s="331"/>
      <c r="BB455" s="331"/>
      <c r="BC455" s="331"/>
      <c r="BD455" s="331">
        <f aca="true" t="shared" si="334" ref="BD455:BM455">+($F519/$F$9)</f>
        <v>0</v>
      </c>
      <c r="BE455" s="331">
        <f t="shared" si="334"/>
        <v>0</v>
      </c>
      <c r="BF455" s="331">
        <f t="shared" si="334"/>
        <v>0</v>
      </c>
      <c r="BG455" s="331">
        <f t="shared" si="334"/>
        <v>0</v>
      </c>
      <c r="BH455" s="331">
        <f t="shared" si="334"/>
        <v>0</v>
      </c>
      <c r="BI455" s="331">
        <f t="shared" si="334"/>
        <v>0</v>
      </c>
      <c r="BJ455" s="331">
        <f t="shared" si="334"/>
        <v>0</v>
      </c>
      <c r="BK455" s="331">
        <f t="shared" si="334"/>
        <v>0</v>
      </c>
      <c r="BL455" s="331">
        <f t="shared" si="334"/>
        <v>0</v>
      </c>
      <c r="BM455" s="331">
        <f t="shared" si="334"/>
        <v>0</v>
      </c>
    </row>
    <row r="456" spans="5:65" ht="15.75">
      <c r="E456" s="416">
        <f>+E455+10</f>
        <v>45026</v>
      </c>
      <c r="F456" s="331"/>
      <c r="G456" s="331"/>
      <c r="H456" s="331"/>
      <c r="I456" s="331"/>
      <c r="J456" s="331"/>
      <c r="K456" s="331"/>
      <c r="L456" s="331"/>
      <c r="M456" s="331"/>
      <c r="N456" s="331"/>
      <c r="O456" s="331"/>
      <c r="P456" s="331"/>
      <c r="Q456" s="331"/>
      <c r="R456" s="331"/>
      <c r="S456" s="331"/>
      <c r="T456" s="331"/>
      <c r="U456" s="331"/>
      <c r="V456" s="331"/>
      <c r="W456" s="331"/>
      <c r="X456" s="331"/>
      <c r="Y456" s="331"/>
      <c r="Z456" s="331"/>
      <c r="AA456" s="331"/>
      <c r="AB456" s="331"/>
      <c r="AC456" s="331"/>
      <c r="AD456" s="331"/>
      <c r="AE456" s="331"/>
      <c r="AF456" s="331"/>
      <c r="AG456" s="331"/>
      <c r="AH456" s="331"/>
      <c r="AI456" s="331"/>
      <c r="AJ456" s="331"/>
      <c r="AK456" s="331"/>
      <c r="AL456" s="331"/>
      <c r="AM456" s="331"/>
      <c r="AN456" s="331"/>
      <c r="AO456" s="331"/>
      <c r="AP456" s="331"/>
      <c r="AQ456" s="331"/>
      <c r="AR456" s="331"/>
      <c r="AS456" s="331"/>
      <c r="AT456" s="331"/>
      <c r="AU456" s="331"/>
      <c r="AV456" s="331"/>
      <c r="AW456" s="331"/>
      <c r="AX456" s="331"/>
      <c r="AY456" s="331"/>
      <c r="AZ456" s="331"/>
      <c r="BA456" s="331"/>
      <c r="BB456" s="331"/>
      <c r="BC456" s="331"/>
      <c r="BD456" s="331"/>
      <c r="BE456" s="331">
        <f aca="true" t="shared" si="335" ref="BE456:BM456">+($F520/$F$9)</f>
        <v>0</v>
      </c>
      <c r="BF456" s="331">
        <f t="shared" si="335"/>
        <v>0</v>
      </c>
      <c r="BG456" s="331">
        <f t="shared" si="335"/>
        <v>0</v>
      </c>
      <c r="BH456" s="331">
        <f t="shared" si="335"/>
        <v>0</v>
      </c>
      <c r="BI456" s="331">
        <f t="shared" si="335"/>
        <v>0</v>
      </c>
      <c r="BJ456" s="331">
        <f t="shared" si="335"/>
        <v>0</v>
      </c>
      <c r="BK456" s="331">
        <f t="shared" si="335"/>
        <v>0</v>
      </c>
      <c r="BL456" s="331">
        <f t="shared" si="335"/>
        <v>0</v>
      </c>
      <c r="BM456" s="331">
        <f t="shared" si="335"/>
        <v>0</v>
      </c>
    </row>
    <row r="457" spans="5:65" ht="15.75">
      <c r="E457" s="416">
        <f t="shared" si="224"/>
        <v>45057</v>
      </c>
      <c r="F457" s="331"/>
      <c r="G457" s="331"/>
      <c r="H457" s="331"/>
      <c r="I457" s="331"/>
      <c r="J457" s="331"/>
      <c r="K457" s="331"/>
      <c r="L457" s="331"/>
      <c r="M457" s="331"/>
      <c r="N457" s="331"/>
      <c r="O457" s="331"/>
      <c r="P457" s="331"/>
      <c r="Q457" s="331"/>
      <c r="R457" s="331"/>
      <c r="S457" s="331"/>
      <c r="T457" s="331"/>
      <c r="U457" s="331"/>
      <c r="V457" s="331"/>
      <c r="W457" s="331"/>
      <c r="X457" s="331"/>
      <c r="Y457" s="331"/>
      <c r="Z457" s="331"/>
      <c r="AA457" s="331"/>
      <c r="AB457" s="331"/>
      <c r="AC457" s="331"/>
      <c r="AD457" s="331"/>
      <c r="AE457" s="331"/>
      <c r="AF457" s="331"/>
      <c r="AG457" s="331"/>
      <c r="AH457" s="331"/>
      <c r="AI457" s="331"/>
      <c r="AJ457" s="331"/>
      <c r="AK457" s="331"/>
      <c r="AL457" s="331"/>
      <c r="AM457" s="331"/>
      <c r="AN457" s="331"/>
      <c r="AO457" s="331"/>
      <c r="AP457" s="331"/>
      <c r="AQ457" s="331"/>
      <c r="AR457" s="331"/>
      <c r="AS457" s="331"/>
      <c r="AT457" s="331"/>
      <c r="AU457" s="331"/>
      <c r="AV457" s="331"/>
      <c r="AW457" s="331"/>
      <c r="AX457" s="331"/>
      <c r="AY457" s="331"/>
      <c r="AZ457" s="331"/>
      <c r="BA457" s="331"/>
      <c r="BB457" s="331"/>
      <c r="BC457" s="331"/>
      <c r="BD457" s="331"/>
      <c r="BE457" s="331"/>
      <c r="BF457" s="331">
        <f aca="true" t="shared" si="336" ref="BF457:BM457">+($F521/$F$9)</f>
        <v>0</v>
      </c>
      <c r="BG457" s="331">
        <f t="shared" si="336"/>
        <v>0</v>
      </c>
      <c r="BH457" s="331">
        <f t="shared" si="336"/>
        <v>0</v>
      </c>
      <c r="BI457" s="331">
        <f t="shared" si="336"/>
        <v>0</v>
      </c>
      <c r="BJ457" s="331">
        <f t="shared" si="336"/>
        <v>0</v>
      </c>
      <c r="BK457" s="331">
        <f t="shared" si="336"/>
        <v>0</v>
      </c>
      <c r="BL457" s="331">
        <f t="shared" si="336"/>
        <v>0</v>
      </c>
      <c r="BM457" s="331">
        <f t="shared" si="336"/>
        <v>0</v>
      </c>
    </row>
    <row r="458" spans="5:65" ht="15.75">
      <c r="E458" s="416">
        <f t="shared" si="224"/>
        <v>45088</v>
      </c>
      <c r="F458" s="331"/>
      <c r="G458" s="331"/>
      <c r="H458" s="331"/>
      <c r="I458" s="331"/>
      <c r="J458" s="331"/>
      <c r="K458" s="331"/>
      <c r="L458" s="331"/>
      <c r="M458" s="331"/>
      <c r="N458" s="331"/>
      <c r="O458" s="331"/>
      <c r="P458" s="331"/>
      <c r="Q458" s="331"/>
      <c r="R458" s="331"/>
      <c r="S458" s="331"/>
      <c r="T458" s="331"/>
      <c r="U458" s="331"/>
      <c r="V458" s="331"/>
      <c r="W458" s="331"/>
      <c r="X458" s="331"/>
      <c r="Y458" s="331"/>
      <c r="Z458" s="331"/>
      <c r="AA458" s="331"/>
      <c r="AB458" s="331"/>
      <c r="AC458" s="331"/>
      <c r="AD458" s="331"/>
      <c r="AE458" s="331"/>
      <c r="AF458" s="331"/>
      <c r="AG458" s="331"/>
      <c r="AH458" s="331"/>
      <c r="AI458" s="331"/>
      <c r="AJ458" s="331"/>
      <c r="AK458" s="331"/>
      <c r="AL458" s="331"/>
      <c r="AM458" s="331"/>
      <c r="AN458" s="331"/>
      <c r="AO458" s="331"/>
      <c r="AP458" s="331"/>
      <c r="AQ458" s="331"/>
      <c r="AR458" s="331"/>
      <c r="AS458" s="331"/>
      <c r="AT458" s="331"/>
      <c r="AU458" s="331"/>
      <c r="AV458" s="331"/>
      <c r="AW458" s="331"/>
      <c r="AX458" s="331"/>
      <c r="AY458" s="331"/>
      <c r="AZ458" s="331"/>
      <c r="BA458" s="331"/>
      <c r="BB458" s="331"/>
      <c r="BC458" s="331"/>
      <c r="BD458" s="331"/>
      <c r="BE458" s="331"/>
      <c r="BF458" s="331"/>
      <c r="BG458" s="331">
        <f aca="true" t="shared" si="337" ref="BG458:BM458">+($F522/$F$9)</f>
        <v>0</v>
      </c>
      <c r="BH458" s="331">
        <f t="shared" si="337"/>
        <v>0</v>
      </c>
      <c r="BI458" s="331">
        <f t="shared" si="337"/>
        <v>0</v>
      </c>
      <c r="BJ458" s="331">
        <f t="shared" si="337"/>
        <v>0</v>
      </c>
      <c r="BK458" s="331">
        <f t="shared" si="337"/>
        <v>0</v>
      </c>
      <c r="BL458" s="331">
        <f t="shared" si="337"/>
        <v>0</v>
      </c>
      <c r="BM458" s="331">
        <f t="shared" si="337"/>
        <v>0</v>
      </c>
    </row>
    <row r="459" spans="5:65" ht="15.75">
      <c r="E459" s="416">
        <f t="shared" si="224"/>
        <v>45119</v>
      </c>
      <c r="F459" s="331"/>
      <c r="G459" s="331"/>
      <c r="H459" s="331"/>
      <c r="I459" s="331"/>
      <c r="J459" s="331"/>
      <c r="K459" s="331"/>
      <c r="L459" s="331"/>
      <c r="M459" s="331"/>
      <c r="N459" s="331"/>
      <c r="O459" s="331"/>
      <c r="P459" s="331"/>
      <c r="Q459" s="331"/>
      <c r="R459" s="331"/>
      <c r="S459" s="331"/>
      <c r="T459" s="331"/>
      <c r="U459" s="331"/>
      <c r="V459" s="331"/>
      <c r="W459" s="331"/>
      <c r="X459" s="331"/>
      <c r="Y459" s="331"/>
      <c r="Z459" s="331"/>
      <c r="AA459" s="331"/>
      <c r="AB459" s="331"/>
      <c r="AC459" s="331"/>
      <c r="AD459" s="331"/>
      <c r="AE459" s="331"/>
      <c r="AF459" s="331"/>
      <c r="AG459" s="331"/>
      <c r="AH459" s="331"/>
      <c r="AI459" s="331"/>
      <c r="AJ459" s="331"/>
      <c r="AK459" s="331"/>
      <c r="AL459" s="331"/>
      <c r="AM459" s="331"/>
      <c r="AN459" s="331"/>
      <c r="AO459" s="331"/>
      <c r="AP459" s="331"/>
      <c r="AQ459" s="331"/>
      <c r="AR459" s="331"/>
      <c r="AS459" s="331"/>
      <c r="AT459" s="331"/>
      <c r="AU459" s="331"/>
      <c r="AV459" s="331"/>
      <c r="AW459" s="331"/>
      <c r="AX459" s="331"/>
      <c r="AY459" s="331"/>
      <c r="AZ459" s="331"/>
      <c r="BA459" s="331"/>
      <c r="BB459" s="331"/>
      <c r="BC459" s="331"/>
      <c r="BD459" s="331"/>
      <c r="BE459" s="331"/>
      <c r="BF459" s="331"/>
      <c r="BG459" s="331"/>
      <c r="BH459" s="331">
        <f aca="true" t="shared" si="338" ref="BH459:BM459">+($F523/$F$9)</f>
        <v>0</v>
      </c>
      <c r="BI459" s="331">
        <f t="shared" si="338"/>
        <v>0</v>
      </c>
      <c r="BJ459" s="331">
        <f t="shared" si="338"/>
        <v>0</v>
      </c>
      <c r="BK459" s="331">
        <f t="shared" si="338"/>
        <v>0</v>
      </c>
      <c r="BL459" s="331">
        <f t="shared" si="338"/>
        <v>0</v>
      </c>
      <c r="BM459" s="331">
        <f t="shared" si="338"/>
        <v>0</v>
      </c>
    </row>
    <row r="460" spans="5:65" ht="15.75">
      <c r="E460" s="416">
        <f t="shared" si="224"/>
        <v>45150</v>
      </c>
      <c r="F460" s="331"/>
      <c r="G460" s="331"/>
      <c r="H460" s="331"/>
      <c r="I460" s="331"/>
      <c r="J460" s="331"/>
      <c r="K460" s="331"/>
      <c r="L460" s="331"/>
      <c r="M460" s="331"/>
      <c r="N460" s="331"/>
      <c r="O460" s="331"/>
      <c r="P460" s="331"/>
      <c r="Q460" s="331"/>
      <c r="R460" s="331"/>
      <c r="S460" s="331"/>
      <c r="T460" s="331"/>
      <c r="U460" s="331"/>
      <c r="V460" s="331"/>
      <c r="W460" s="331"/>
      <c r="X460" s="331"/>
      <c r="Y460" s="331"/>
      <c r="Z460" s="331"/>
      <c r="AA460" s="331"/>
      <c r="AB460" s="331"/>
      <c r="AC460" s="331"/>
      <c r="AD460" s="331"/>
      <c r="AE460" s="331"/>
      <c r="AF460" s="331"/>
      <c r="AG460" s="331"/>
      <c r="AH460" s="331"/>
      <c r="AI460" s="331"/>
      <c r="AJ460" s="331"/>
      <c r="AK460" s="331"/>
      <c r="AL460" s="331"/>
      <c r="AM460" s="331"/>
      <c r="AN460" s="331"/>
      <c r="AO460" s="331"/>
      <c r="AP460" s="331"/>
      <c r="AQ460" s="331"/>
      <c r="AR460" s="331"/>
      <c r="AS460" s="331"/>
      <c r="AT460" s="331"/>
      <c r="AU460" s="331"/>
      <c r="AV460" s="331"/>
      <c r="AW460" s="331"/>
      <c r="AX460" s="331"/>
      <c r="AY460" s="331"/>
      <c r="AZ460" s="331"/>
      <c r="BA460" s="331"/>
      <c r="BB460" s="331"/>
      <c r="BC460" s="331"/>
      <c r="BD460" s="331"/>
      <c r="BE460" s="331"/>
      <c r="BF460" s="331"/>
      <c r="BG460" s="331"/>
      <c r="BH460" s="331"/>
      <c r="BI460" s="331">
        <f aca="true" t="shared" si="339" ref="BI460:BM460">+($F524/$F$9)</f>
        <v>0</v>
      </c>
      <c r="BJ460" s="331">
        <f t="shared" si="339"/>
        <v>0</v>
      </c>
      <c r="BK460" s="331">
        <f t="shared" si="339"/>
        <v>0</v>
      </c>
      <c r="BL460" s="331">
        <f t="shared" si="339"/>
        <v>0</v>
      </c>
      <c r="BM460" s="331">
        <f t="shared" si="339"/>
        <v>0</v>
      </c>
    </row>
    <row r="461" spans="5:65" ht="15.75">
      <c r="E461" s="416">
        <f t="shared" si="224"/>
        <v>45181</v>
      </c>
      <c r="F461" s="331"/>
      <c r="G461" s="331"/>
      <c r="H461" s="331"/>
      <c r="I461" s="331"/>
      <c r="J461" s="331"/>
      <c r="K461" s="331"/>
      <c r="L461" s="331"/>
      <c r="M461" s="331"/>
      <c r="N461" s="331"/>
      <c r="O461" s="331"/>
      <c r="P461" s="331"/>
      <c r="Q461" s="331"/>
      <c r="R461" s="331"/>
      <c r="S461" s="331"/>
      <c r="T461" s="331"/>
      <c r="U461" s="331"/>
      <c r="V461" s="331"/>
      <c r="W461" s="331"/>
      <c r="X461" s="331"/>
      <c r="Y461" s="331"/>
      <c r="Z461" s="331"/>
      <c r="AA461" s="331"/>
      <c r="AB461" s="331"/>
      <c r="AC461" s="331"/>
      <c r="AD461" s="331"/>
      <c r="AE461" s="331"/>
      <c r="AF461" s="331"/>
      <c r="AG461" s="331"/>
      <c r="AH461" s="331"/>
      <c r="AI461" s="331"/>
      <c r="AJ461" s="331"/>
      <c r="AK461" s="331"/>
      <c r="AL461" s="331"/>
      <c r="AM461" s="331"/>
      <c r="AN461" s="331"/>
      <c r="AO461" s="331"/>
      <c r="AP461" s="331"/>
      <c r="AQ461" s="331"/>
      <c r="AR461" s="331"/>
      <c r="AS461" s="331"/>
      <c r="AT461" s="331"/>
      <c r="AU461" s="331"/>
      <c r="AV461" s="331"/>
      <c r="AW461" s="331"/>
      <c r="AX461" s="331"/>
      <c r="AY461" s="331"/>
      <c r="AZ461" s="331"/>
      <c r="BA461" s="331"/>
      <c r="BB461" s="331"/>
      <c r="BC461" s="331"/>
      <c r="BD461" s="331"/>
      <c r="BE461" s="331"/>
      <c r="BF461" s="331"/>
      <c r="BG461" s="331"/>
      <c r="BH461" s="331"/>
      <c r="BI461" s="331"/>
      <c r="BJ461" s="331">
        <f aca="true" t="shared" si="340" ref="BJ461:BM461">+($F525/$F$9)</f>
        <v>0</v>
      </c>
      <c r="BK461" s="331">
        <f t="shared" si="340"/>
        <v>0</v>
      </c>
      <c r="BL461" s="331">
        <f t="shared" si="340"/>
        <v>0</v>
      </c>
      <c r="BM461" s="331">
        <f t="shared" si="340"/>
        <v>0</v>
      </c>
    </row>
    <row r="462" spans="5:65" ht="15.75">
      <c r="E462" s="416">
        <f t="shared" si="224"/>
        <v>45212</v>
      </c>
      <c r="F462" s="331"/>
      <c r="G462" s="331"/>
      <c r="H462" s="331"/>
      <c r="I462" s="331"/>
      <c r="J462" s="331"/>
      <c r="K462" s="331"/>
      <c r="L462" s="331"/>
      <c r="M462" s="331"/>
      <c r="N462" s="331"/>
      <c r="O462" s="331"/>
      <c r="P462" s="331"/>
      <c r="Q462" s="331"/>
      <c r="R462" s="331"/>
      <c r="S462" s="331"/>
      <c r="T462" s="331"/>
      <c r="U462" s="331"/>
      <c r="V462" s="331"/>
      <c r="W462" s="331"/>
      <c r="X462" s="331"/>
      <c r="Y462" s="331"/>
      <c r="Z462" s="331"/>
      <c r="AA462" s="331"/>
      <c r="AB462" s="331"/>
      <c r="AC462" s="331"/>
      <c r="AD462" s="331"/>
      <c r="AE462" s="331"/>
      <c r="AF462" s="331"/>
      <c r="AG462" s="331"/>
      <c r="AH462" s="331"/>
      <c r="AI462" s="331"/>
      <c r="AJ462" s="331"/>
      <c r="AK462" s="331"/>
      <c r="AL462" s="331"/>
      <c r="AM462" s="331"/>
      <c r="AN462" s="331"/>
      <c r="AO462" s="331"/>
      <c r="AP462" s="331"/>
      <c r="AQ462" s="331"/>
      <c r="AR462" s="331"/>
      <c r="AS462" s="331"/>
      <c r="AT462" s="331"/>
      <c r="AU462" s="331"/>
      <c r="AV462" s="331"/>
      <c r="AW462" s="331"/>
      <c r="AX462" s="331"/>
      <c r="AY462" s="331"/>
      <c r="AZ462" s="331"/>
      <c r="BA462" s="331"/>
      <c r="BB462" s="331"/>
      <c r="BC462" s="331"/>
      <c r="BD462" s="331"/>
      <c r="BE462" s="331"/>
      <c r="BF462" s="331"/>
      <c r="BG462" s="331"/>
      <c r="BH462" s="331"/>
      <c r="BI462" s="331"/>
      <c r="BJ462" s="331"/>
      <c r="BK462" s="331">
        <f aca="true" t="shared" si="341" ref="BK462:BM462">+($F526/$F$9)</f>
        <v>0</v>
      </c>
      <c r="BL462" s="331">
        <f t="shared" si="341"/>
        <v>0</v>
      </c>
      <c r="BM462" s="331">
        <f t="shared" si="341"/>
        <v>0</v>
      </c>
    </row>
    <row r="463" spans="5:65" ht="15.75">
      <c r="E463" s="416">
        <f t="shared" si="224"/>
        <v>45243</v>
      </c>
      <c r="F463" s="331"/>
      <c r="G463" s="331"/>
      <c r="H463" s="331"/>
      <c r="I463" s="331"/>
      <c r="J463" s="331"/>
      <c r="K463" s="331"/>
      <c r="L463" s="331"/>
      <c r="M463" s="331"/>
      <c r="N463" s="331"/>
      <c r="O463" s="331"/>
      <c r="P463" s="331"/>
      <c r="Q463" s="331"/>
      <c r="R463" s="331"/>
      <c r="S463" s="331"/>
      <c r="T463" s="331"/>
      <c r="U463" s="331"/>
      <c r="V463" s="331"/>
      <c r="W463" s="331"/>
      <c r="X463" s="331"/>
      <c r="Y463" s="331"/>
      <c r="Z463" s="331"/>
      <c r="AA463" s="331"/>
      <c r="AB463" s="331"/>
      <c r="AC463" s="331"/>
      <c r="AD463" s="331"/>
      <c r="AE463" s="331"/>
      <c r="AF463" s="331"/>
      <c r="AG463" s="331"/>
      <c r="AH463" s="331"/>
      <c r="AI463" s="331"/>
      <c r="AJ463" s="331"/>
      <c r="AK463" s="331"/>
      <c r="AL463" s="331"/>
      <c r="AM463" s="331"/>
      <c r="AN463" s="331"/>
      <c r="AO463" s="331"/>
      <c r="AP463" s="331"/>
      <c r="AQ463" s="331"/>
      <c r="AR463" s="331"/>
      <c r="AS463" s="331"/>
      <c r="AT463" s="331"/>
      <c r="AU463" s="331"/>
      <c r="AV463" s="331"/>
      <c r="AW463" s="331"/>
      <c r="AX463" s="331"/>
      <c r="AY463" s="331"/>
      <c r="AZ463" s="331"/>
      <c r="BA463" s="331"/>
      <c r="BB463" s="331"/>
      <c r="BC463" s="331"/>
      <c r="BD463" s="331"/>
      <c r="BE463" s="331"/>
      <c r="BF463" s="331"/>
      <c r="BG463" s="331"/>
      <c r="BH463" s="331"/>
      <c r="BI463" s="331"/>
      <c r="BJ463" s="331"/>
      <c r="BK463" s="331"/>
      <c r="BL463" s="331">
        <f aca="true" t="shared" si="342" ref="BL463:BM463">+($F527/$F$9)</f>
        <v>0</v>
      </c>
      <c r="BM463" s="331">
        <f t="shared" si="342"/>
        <v>0</v>
      </c>
    </row>
    <row r="464" spans="5:65" ht="15.75">
      <c r="E464" s="416">
        <f t="shared" si="224"/>
        <v>45274</v>
      </c>
      <c r="F464" s="331"/>
      <c r="G464" s="331"/>
      <c r="H464" s="331"/>
      <c r="I464" s="331"/>
      <c r="J464" s="331"/>
      <c r="K464" s="331"/>
      <c r="L464" s="331"/>
      <c r="M464" s="331"/>
      <c r="N464" s="331"/>
      <c r="O464" s="331"/>
      <c r="P464" s="331"/>
      <c r="Q464" s="331"/>
      <c r="R464" s="331"/>
      <c r="S464" s="331"/>
      <c r="T464" s="331"/>
      <c r="U464" s="331"/>
      <c r="V464" s="331"/>
      <c r="W464" s="331"/>
      <c r="X464" s="331"/>
      <c r="Y464" s="331"/>
      <c r="Z464" s="331"/>
      <c r="AA464" s="331"/>
      <c r="AB464" s="331"/>
      <c r="AC464" s="331"/>
      <c r="AD464" s="331"/>
      <c r="AE464" s="331"/>
      <c r="AF464" s="331"/>
      <c r="AG464" s="331"/>
      <c r="AH464" s="331"/>
      <c r="AI464" s="331"/>
      <c r="AJ464" s="331"/>
      <c r="AK464" s="331"/>
      <c r="AL464" s="331"/>
      <c r="AM464" s="331"/>
      <c r="AN464" s="331"/>
      <c r="AO464" s="331"/>
      <c r="AP464" s="331"/>
      <c r="AQ464" s="331"/>
      <c r="AR464" s="331"/>
      <c r="AS464" s="331"/>
      <c r="AT464" s="331"/>
      <c r="AU464" s="331"/>
      <c r="AV464" s="331"/>
      <c r="AW464" s="331"/>
      <c r="AX464" s="331"/>
      <c r="AY464" s="331"/>
      <c r="AZ464" s="331"/>
      <c r="BA464" s="331"/>
      <c r="BB464" s="331"/>
      <c r="BC464" s="331"/>
      <c r="BD464" s="331"/>
      <c r="BE464" s="331"/>
      <c r="BF464" s="331"/>
      <c r="BG464" s="331"/>
      <c r="BH464" s="331"/>
      <c r="BI464" s="331"/>
      <c r="BJ464" s="331"/>
      <c r="BK464" s="331"/>
      <c r="BL464" s="331"/>
      <c r="BM464" s="331">
        <f aca="true" t="shared" si="343" ref="BM464">+($F528/$F$9)</f>
        <v>0</v>
      </c>
    </row>
    <row r="465" spans="29:101" ht="15.75">
      <c r="AC465" s="331"/>
      <c r="BN465" s="331"/>
      <c r="BO465" s="331"/>
      <c r="BP465" s="331"/>
      <c r="BQ465" s="331"/>
      <c r="BR465" s="331"/>
      <c r="BS465" s="331"/>
      <c r="BT465" s="331"/>
      <c r="BU465" s="331"/>
      <c r="BV465" s="331"/>
      <c r="BW465" s="331"/>
      <c r="BX465" s="331"/>
      <c r="BY465" s="331"/>
      <c r="BZ465" s="331"/>
      <c r="CA465" s="331"/>
      <c r="CB465" s="331"/>
      <c r="CC465" s="331"/>
      <c r="CD465" s="331"/>
      <c r="CE465" s="331"/>
      <c r="CF465" s="331"/>
      <c r="CG465" s="331"/>
      <c r="CH465" s="331"/>
      <c r="CI465" s="331"/>
      <c r="CJ465" s="331"/>
      <c r="CK465" s="331"/>
      <c r="CL465" s="331"/>
      <c r="CM465" s="331"/>
      <c r="CN465" s="331"/>
      <c r="CO465" s="331"/>
      <c r="CP465" s="331"/>
      <c r="CQ465" s="331"/>
      <c r="CR465" s="331"/>
      <c r="CS465" s="331"/>
      <c r="CT465" s="331"/>
      <c r="CU465" s="331"/>
      <c r="CV465" s="331"/>
      <c r="CW465" s="331"/>
    </row>
    <row r="467" ht="16.2" thickBot="1"/>
    <row r="468" spans="5:65" ht="16.2" thickBot="1">
      <c r="E468" s="418" t="s">
        <v>208</v>
      </c>
      <c r="F468" s="416">
        <v>43466</v>
      </c>
      <c r="G468" s="416">
        <f>+F468+31</f>
        <v>43497</v>
      </c>
      <c r="H468" s="416">
        <f aca="true" t="shared" si="344" ref="H468:BA468">+G468+31</f>
        <v>43528</v>
      </c>
      <c r="I468" s="416">
        <f t="shared" si="344"/>
        <v>43559</v>
      </c>
      <c r="J468" s="416">
        <f t="shared" si="344"/>
        <v>43590</v>
      </c>
      <c r="K468" s="416">
        <f t="shared" si="344"/>
        <v>43621</v>
      </c>
      <c r="L468" s="416">
        <f t="shared" si="344"/>
        <v>43652</v>
      </c>
      <c r="M468" s="416">
        <f t="shared" si="344"/>
        <v>43683</v>
      </c>
      <c r="N468" s="416">
        <f t="shared" si="344"/>
        <v>43714</v>
      </c>
      <c r="O468" s="416">
        <f t="shared" si="344"/>
        <v>43745</v>
      </c>
      <c r="P468" s="416">
        <f t="shared" si="344"/>
        <v>43776</v>
      </c>
      <c r="Q468" s="416">
        <f t="shared" si="344"/>
        <v>43807</v>
      </c>
      <c r="R468" s="416">
        <f t="shared" si="344"/>
        <v>43838</v>
      </c>
      <c r="S468" s="416">
        <f t="shared" si="344"/>
        <v>43869</v>
      </c>
      <c r="T468" s="416">
        <f t="shared" si="344"/>
        <v>43900</v>
      </c>
      <c r="U468" s="416">
        <f t="shared" si="344"/>
        <v>43931</v>
      </c>
      <c r="V468" s="416">
        <f t="shared" si="344"/>
        <v>43962</v>
      </c>
      <c r="W468" s="416">
        <f t="shared" si="344"/>
        <v>43993</v>
      </c>
      <c r="X468" s="416">
        <f t="shared" si="344"/>
        <v>44024</v>
      </c>
      <c r="Y468" s="416">
        <f t="shared" si="344"/>
        <v>44055</v>
      </c>
      <c r="Z468" s="416">
        <f t="shared" si="344"/>
        <v>44086</v>
      </c>
      <c r="AA468" s="416">
        <f t="shared" si="344"/>
        <v>44117</v>
      </c>
      <c r="AB468" s="416">
        <f t="shared" si="344"/>
        <v>44148</v>
      </c>
      <c r="AC468" s="416">
        <f t="shared" si="344"/>
        <v>44179</v>
      </c>
      <c r="AD468" s="416">
        <f t="shared" si="344"/>
        <v>44210</v>
      </c>
      <c r="AE468" s="416">
        <f t="shared" si="344"/>
        <v>44241</v>
      </c>
      <c r="AF468" s="416">
        <f t="shared" si="344"/>
        <v>44272</v>
      </c>
      <c r="AG468" s="416">
        <f t="shared" si="344"/>
        <v>44303</v>
      </c>
      <c r="AH468" s="416">
        <f t="shared" si="344"/>
        <v>44334</v>
      </c>
      <c r="AI468" s="416">
        <f t="shared" si="344"/>
        <v>44365</v>
      </c>
      <c r="AJ468" s="416">
        <f t="shared" si="344"/>
        <v>44396</v>
      </c>
      <c r="AK468" s="416">
        <f t="shared" si="344"/>
        <v>44427</v>
      </c>
      <c r="AL468" s="416">
        <f t="shared" si="344"/>
        <v>44458</v>
      </c>
      <c r="AM468" s="416">
        <f t="shared" si="344"/>
        <v>44489</v>
      </c>
      <c r="AN468" s="416">
        <f t="shared" si="344"/>
        <v>44520</v>
      </c>
      <c r="AO468" s="416">
        <f t="shared" si="344"/>
        <v>44551</v>
      </c>
      <c r="AP468" s="416">
        <f t="shared" si="344"/>
        <v>44582</v>
      </c>
      <c r="AQ468" s="416">
        <f t="shared" si="344"/>
        <v>44613</v>
      </c>
      <c r="AR468" s="416">
        <f t="shared" si="344"/>
        <v>44644</v>
      </c>
      <c r="AS468" s="416">
        <f t="shared" si="344"/>
        <v>44675</v>
      </c>
      <c r="AT468" s="416">
        <f t="shared" si="344"/>
        <v>44706</v>
      </c>
      <c r="AU468" s="416">
        <f t="shared" si="344"/>
        <v>44737</v>
      </c>
      <c r="AV468" s="416">
        <f t="shared" si="344"/>
        <v>44768</v>
      </c>
      <c r="AW468" s="416">
        <f t="shared" si="344"/>
        <v>44799</v>
      </c>
      <c r="AX468" s="416">
        <f t="shared" si="344"/>
        <v>44830</v>
      </c>
      <c r="AY468" s="416">
        <f t="shared" si="344"/>
        <v>44861</v>
      </c>
      <c r="AZ468" s="416">
        <f t="shared" si="344"/>
        <v>44892</v>
      </c>
      <c r="BA468" s="416">
        <f t="shared" si="344"/>
        <v>44923</v>
      </c>
      <c r="BB468" s="416">
        <f aca="true" t="shared" si="345" ref="BB468">+BA468+31</f>
        <v>44954</v>
      </c>
      <c r="BC468" s="416">
        <f aca="true" t="shared" si="346" ref="BC468">+BB468+31</f>
        <v>44985</v>
      </c>
      <c r="BD468" s="416">
        <f aca="true" t="shared" si="347" ref="BD468">+BC468+31</f>
        <v>45016</v>
      </c>
      <c r="BE468" s="416">
        <f>+BD468+10</f>
        <v>45026</v>
      </c>
      <c r="BF468" s="416">
        <f aca="true" t="shared" si="348" ref="BF468">+BE468+31</f>
        <v>45057</v>
      </c>
      <c r="BG468" s="416">
        <f aca="true" t="shared" si="349" ref="BG468">+BF468+31</f>
        <v>45088</v>
      </c>
      <c r="BH468" s="416">
        <f aca="true" t="shared" si="350" ref="BH468">+BG468+31</f>
        <v>45119</v>
      </c>
      <c r="BI468" s="416">
        <f aca="true" t="shared" si="351" ref="BI468">+BH468+31</f>
        <v>45150</v>
      </c>
      <c r="BJ468" s="416">
        <f aca="true" t="shared" si="352" ref="BJ468">+BI468+31</f>
        <v>45181</v>
      </c>
      <c r="BK468" s="416">
        <f aca="true" t="shared" si="353" ref="BK468">+BJ468+31</f>
        <v>45212</v>
      </c>
      <c r="BL468" s="416">
        <f aca="true" t="shared" si="354" ref="BL468">+BK468+31</f>
        <v>45243</v>
      </c>
      <c r="BM468" s="416">
        <f aca="true" t="shared" si="355" ref="BM468">+BL468+31</f>
        <v>45274</v>
      </c>
    </row>
    <row r="469" spans="4:65" s="5" customFormat="1" ht="15.75">
      <c r="D469" s="417"/>
      <c r="E469" s="416">
        <v>43466</v>
      </c>
      <c r="F469" s="417">
        <f>+WC!F50</f>
        <v>0</v>
      </c>
      <c r="G469" s="417">
        <f>+WC!G50</f>
        <v>0</v>
      </c>
      <c r="H469" s="417">
        <f>+WC!H50</f>
        <v>0</v>
      </c>
      <c r="I469" s="417">
        <f>+WC!I50</f>
        <v>0</v>
      </c>
      <c r="J469" s="417">
        <f>+WC!J50</f>
        <v>0</v>
      </c>
      <c r="K469" s="417">
        <f>+WC!K50</f>
        <v>0</v>
      </c>
      <c r="L469" s="417">
        <f>+WC!L50</f>
        <v>0</v>
      </c>
      <c r="M469" s="417">
        <f>+WC!M50</f>
        <v>0</v>
      </c>
      <c r="N469" s="417">
        <f>+WC!N50</f>
        <v>0</v>
      </c>
      <c r="O469" s="417">
        <f>+WC!O50</f>
        <v>0</v>
      </c>
      <c r="P469" s="417">
        <f>+WC!P50</f>
        <v>0</v>
      </c>
      <c r="Q469" s="417">
        <f>+WC!Q50</f>
        <v>0</v>
      </c>
      <c r="R469" s="417">
        <f>+WC!R50</f>
        <v>0</v>
      </c>
      <c r="S469" s="417">
        <f>+WC!S50</f>
        <v>0</v>
      </c>
      <c r="T469" s="417">
        <f>+WC!T50</f>
        <v>0</v>
      </c>
      <c r="U469" s="417">
        <f>+WC!U50</f>
        <v>0</v>
      </c>
      <c r="V469" s="417">
        <f>+WC!V50</f>
        <v>0</v>
      </c>
      <c r="W469" s="417">
        <f>+WC!W50</f>
        <v>0</v>
      </c>
      <c r="X469" s="417">
        <f>+WC!X50</f>
        <v>0</v>
      </c>
      <c r="Y469" s="417">
        <f>+WC!Y50</f>
        <v>0</v>
      </c>
      <c r="Z469" s="417">
        <f>+WC!Z50</f>
        <v>0</v>
      </c>
      <c r="AA469" s="417">
        <f>+WC!AA50</f>
        <v>0</v>
      </c>
      <c r="AB469" s="417">
        <f>+WC!AB50</f>
        <v>0</v>
      </c>
      <c r="AC469" s="417">
        <f>+WC!AC50</f>
        <v>0</v>
      </c>
      <c r="AD469" s="417">
        <f>+WC!AD50</f>
        <v>0</v>
      </c>
      <c r="AE469" s="417">
        <f>+WC!AE50</f>
        <v>0</v>
      </c>
      <c r="AF469" s="417">
        <f>+WC!AF50</f>
        <v>0</v>
      </c>
      <c r="AG469" s="417">
        <f>+WC!AG50</f>
        <v>0</v>
      </c>
      <c r="AH469" s="417">
        <f>+WC!AH50</f>
        <v>0</v>
      </c>
      <c r="AI469" s="417">
        <f>+WC!AI50</f>
        <v>0</v>
      </c>
      <c r="AJ469" s="417">
        <f>+WC!AJ50</f>
        <v>0</v>
      </c>
      <c r="AK469" s="417">
        <f>+WC!AK50</f>
        <v>0</v>
      </c>
      <c r="AL469" s="417">
        <f>+WC!AL50</f>
        <v>0</v>
      </c>
      <c r="AM469" s="417">
        <f>+WC!AM50</f>
        <v>0</v>
      </c>
      <c r="AN469" s="417">
        <f>+WC!AN50</f>
        <v>0</v>
      </c>
      <c r="AO469" s="417">
        <f>+WC!AO50</f>
        <v>0</v>
      </c>
      <c r="AP469" s="417">
        <f>+WC!AP50</f>
        <v>0</v>
      </c>
      <c r="AQ469" s="417">
        <f>+WC!AQ50</f>
        <v>0</v>
      </c>
      <c r="AR469" s="417">
        <f>+WC!AR50</f>
        <v>0</v>
      </c>
      <c r="AS469" s="417">
        <f>+WC!AS50</f>
        <v>0</v>
      </c>
      <c r="AT469" s="417">
        <f>+WC!AT50</f>
        <v>0</v>
      </c>
      <c r="AU469" s="417">
        <f>+WC!AU50</f>
        <v>0</v>
      </c>
      <c r="AV469" s="417">
        <f>+WC!AV50</f>
        <v>0</v>
      </c>
      <c r="AW469" s="417">
        <f>+WC!AW50</f>
        <v>0</v>
      </c>
      <c r="AX469" s="417">
        <f>+WC!AX50</f>
        <v>0</v>
      </c>
      <c r="AY469" s="417">
        <f>+WC!AY50</f>
        <v>0</v>
      </c>
      <c r="AZ469" s="417">
        <f>+WC!AZ50</f>
        <v>0</v>
      </c>
      <c r="BA469" s="417">
        <f>+WC!BA50</f>
        <v>0</v>
      </c>
      <c r="BB469" s="417">
        <f>+WC!BB50</f>
        <v>0</v>
      </c>
      <c r="BC469" s="417">
        <f>+WC!BC50</f>
        <v>0</v>
      </c>
      <c r="BD469" s="417">
        <f>+WC!BD50</f>
        <v>0</v>
      </c>
      <c r="BE469" s="417">
        <f>+WC!BE50</f>
        <v>0</v>
      </c>
      <c r="BF469" s="417">
        <f>+WC!BF50</f>
        <v>0</v>
      </c>
      <c r="BG469" s="417">
        <f>+WC!BG50</f>
        <v>0</v>
      </c>
      <c r="BH469" s="417">
        <f>+WC!BH50</f>
        <v>0</v>
      </c>
      <c r="BI469" s="417">
        <f>+WC!BI50</f>
        <v>0</v>
      </c>
      <c r="BJ469" s="417">
        <f>+WC!BJ50</f>
        <v>0</v>
      </c>
      <c r="BK469" s="417">
        <f>+WC!BK50</f>
        <v>0</v>
      </c>
      <c r="BL469" s="417">
        <f>+WC!BL50</f>
        <v>0</v>
      </c>
      <c r="BM469" s="417">
        <f>+WC!BM50</f>
        <v>0</v>
      </c>
    </row>
    <row r="470" spans="5:6" ht="15.75">
      <c r="E470" s="416">
        <f>+E469+31</f>
        <v>43497</v>
      </c>
      <c r="F470" s="417">
        <f>+G469</f>
        <v>0</v>
      </c>
    </row>
    <row r="471" spans="5:6" ht="15.75">
      <c r="E471" s="416">
        <f aca="true" t="shared" si="356" ref="E471:E528">+E470+31</f>
        <v>43528</v>
      </c>
      <c r="F471" s="417">
        <f>+H469</f>
        <v>0</v>
      </c>
    </row>
    <row r="472" spans="5:6" ht="15.75">
      <c r="E472" s="416">
        <f t="shared" si="356"/>
        <v>43559</v>
      </c>
      <c r="F472" s="417">
        <f>+I469</f>
        <v>0</v>
      </c>
    </row>
    <row r="473" spans="5:6" ht="15.75">
      <c r="E473" s="416">
        <f t="shared" si="356"/>
        <v>43590</v>
      </c>
      <c r="F473" s="417">
        <f>+J469</f>
        <v>0</v>
      </c>
    </row>
    <row r="474" spans="5:6" ht="15.75">
      <c r="E474" s="416">
        <f t="shared" si="356"/>
        <v>43621</v>
      </c>
      <c r="F474" s="417">
        <f>+K469</f>
        <v>0</v>
      </c>
    </row>
    <row r="475" spans="5:6" ht="15.75">
      <c r="E475" s="416">
        <f t="shared" si="356"/>
        <v>43652</v>
      </c>
      <c r="F475" s="417">
        <f>+L469</f>
        <v>0</v>
      </c>
    </row>
    <row r="476" spans="5:6" ht="15.75">
      <c r="E476" s="416">
        <f t="shared" si="356"/>
        <v>43683</v>
      </c>
      <c r="F476" s="417">
        <f>+M469</f>
        <v>0</v>
      </c>
    </row>
    <row r="477" spans="5:6" ht="15.75">
      <c r="E477" s="416">
        <f t="shared" si="356"/>
        <v>43714</v>
      </c>
      <c r="F477" s="417">
        <f>+N469</f>
        <v>0</v>
      </c>
    </row>
    <row r="478" spans="5:6" ht="15.75">
      <c r="E478" s="416">
        <f t="shared" si="356"/>
        <v>43745</v>
      </c>
      <c r="F478" s="417">
        <f>+O469</f>
        <v>0</v>
      </c>
    </row>
    <row r="479" spans="5:6" ht="15.75">
      <c r="E479" s="416">
        <f t="shared" si="356"/>
        <v>43776</v>
      </c>
      <c r="F479" s="417">
        <f>+P469</f>
        <v>0</v>
      </c>
    </row>
    <row r="480" spans="5:6" ht="15.75">
      <c r="E480" s="416">
        <f t="shared" si="356"/>
        <v>43807</v>
      </c>
      <c r="F480" s="417">
        <f>+Q469</f>
        <v>0</v>
      </c>
    </row>
    <row r="481" spans="5:6" ht="15.75">
      <c r="E481" s="416">
        <f t="shared" si="356"/>
        <v>43838</v>
      </c>
      <c r="F481" s="417">
        <f>+R469</f>
        <v>0</v>
      </c>
    </row>
    <row r="482" spans="5:6" ht="15.75">
      <c r="E482" s="416">
        <f t="shared" si="356"/>
        <v>43869</v>
      </c>
      <c r="F482" s="417">
        <f>+S469</f>
        <v>0</v>
      </c>
    </row>
    <row r="483" spans="5:6" ht="15.75">
      <c r="E483" s="416">
        <f t="shared" si="356"/>
        <v>43900</v>
      </c>
      <c r="F483" s="417">
        <f>+T469</f>
        <v>0</v>
      </c>
    </row>
    <row r="484" spans="5:6" ht="15.75">
      <c r="E484" s="416">
        <f t="shared" si="356"/>
        <v>43931</v>
      </c>
      <c r="F484" s="417">
        <f>+U469</f>
        <v>0</v>
      </c>
    </row>
    <row r="485" spans="5:6" ht="15.75">
      <c r="E485" s="416">
        <f t="shared" si="356"/>
        <v>43962</v>
      </c>
      <c r="F485" s="417">
        <f>+V469</f>
        <v>0</v>
      </c>
    </row>
    <row r="486" spans="5:6" ht="15.75">
      <c r="E486" s="416">
        <f t="shared" si="356"/>
        <v>43993</v>
      </c>
      <c r="F486" s="417">
        <f>+W469</f>
        <v>0</v>
      </c>
    </row>
    <row r="487" spans="5:6" ht="15.75">
      <c r="E487" s="416">
        <f t="shared" si="356"/>
        <v>44024</v>
      </c>
      <c r="F487" s="417">
        <f>+X469</f>
        <v>0</v>
      </c>
    </row>
    <row r="488" spans="5:6" ht="15.75">
      <c r="E488" s="416">
        <f t="shared" si="356"/>
        <v>44055</v>
      </c>
      <c r="F488" s="417">
        <f>+Y469</f>
        <v>0</v>
      </c>
    </row>
    <row r="489" spans="5:6" ht="15.75">
      <c r="E489" s="416">
        <f t="shared" si="356"/>
        <v>44086</v>
      </c>
      <c r="F489" s="417">
        <f>+Z469</f>
        <v>0</v>
      </c>
    </row>
    <row r="490" spans="5:6" ht="15.75">
      <c r="E490" s="416">
        <f t="shared" si="356"/>
        <v>44117</v>
      </c>
      <c r="F490" s="417">
        <f>+AA469</f>
        <v>0</v>
      </c>
    </row>
    <row r="491" spans="5:6" ht="15.75">
      <c r="E491" s="416">
        <f t="shared" si="356"/>
        <v>44148</v>
      </c>
      <c r="F491" s="417">
        <f>+AB469</f>
        <v>0</v>
      </c>
    </row>
    <row r="492" spans="5:6" ht="15.75">
      <c r="E492" s="416">
        <f t="shared" si="356"/>
        <v>44179</v>
      </c>
      <c r="F492" s="417">
        <f>+AC469</f>
        <v>0</v>
      </c>
    </row>
    <row r="493" spans="5:6" ht="15.75">
      <c r="E493" s="416">
        <f t="shared" si="356"/>
        <v>44210</v>
      </c>
      <c r="F493" s="417">
        <f>+AD469</f>
        <v>0</v>
      </c>
    </row>
    <row r="494" spans="5:6" ht="15.75">
      <c r="E494" s="416">
        <f t="shared" si="356"/>
        <v>44241</v>
      </c>
      <c r="F494" s="417">
        <f>+AE469</f>
        <v>0</v>
      </c>
    </row>
    <row r="495" spans="5:6" ht="15.75">
      <c r="E495" s="416">
        <f t="shared" si="356"/>
        <v>44272</v>
      </c>
      <c r="F495" s="417">
        <f>+AF469</f>
        <v>0</v>
      </c>
    </row>
    <row r="496" spans="5:6" ht="15.75">
      <c r="E496" s="416">
        <f t="shared" si="356"/>
        <v>44303</v>
      </c>
      <c r="F496" s="417">
        <f>+AG469</f>
        <v>0</v>
      </c>
    </row>
    <row r="497" spans="5:6" ht="15.75">
      <c r="E497" s="416">
        <f t="shared" si="356"/>
        <v>44334</v>
      </c>
      <c r="F497" s="417">
        <f>+AH469</f>
        <v>0</v>
      </c>
    </row>
    <row r="498" spans="5:6" ht="15.75">
      <c r="E498" s="416">
        <f t="shared" si="356"/>
        <v>44365</v>
      </c>
      <c r="F498" s="417">
        <f>+AI469</f>
        <v>0</v>
      </c>
    </row>
    <row r="499" spans="5:6" ht="15.75">
      <c r="E499" s="416">
        <f t="shared" si="356"/>
        <v>44396</v>
      </c>
      <c r="F499" s="417">
        <f>+AJ469</f>
        <v>0</v>
      </c>
    </row>
    <row r="500" spans="5:6" ht="15.75">
      <c r="E500" s="416">
        <f t="shared" si="356"/>
        <v>44427</v>
      </c>
      <c r="F500" s="417">
        <f>+AK469</f>
        <v>0</v>
      </c>
    </row>
    <row r="501" spans="5:6" ht="15.75">
      <c r="E501" s="416">
        <f t="shared" si="356"/>
        <v>44458</v>
      </c>
      <c r="F501" s="417">
        <f>+AL469</f>
        <v>0</v>
      </c>
    </row>
    <row r="502" spans="5:6" ht="15.75">
      <c r="E502" s="416">
        <f t="shared" si="356"/>
        <v>44489</v>
      </c>
      <c r="F502" s="417">
        <f>+AM469</f>
        <v>0</v>
      </c>
    </row>
    <row r="503" spans="5:6" ht="15.75">
      <c r="E503" s="416">
        <f t="shared" si="356"/>
        <v>44520</v>
      </c>
      <c r="F503" s="417">
        <f>+AN469</f>
        <v>0</v>
      </c>
    </row>
    <row r="504" spans="5:6" ht="15.75">
      <c r="E504" s="416">
        <f t="shared" si="356"/>
        <v>44551</v>
      </c>
      <c r="F504" s="417">
        <f>+AO469</f>
        <v>0</v>
      </c>
    </row>
    <row r="505" spans="5:6" ht="15.75">
      <c r="E505" s="416">
        <f t="shared" si="356"/>
        <v>44582</v>
      </c>
      <c r="F505" s="417">
        <f>+AP469</f>
        <v>0</v>
      </c>
    </row>
    <row r="506" spans="5:6" ht="15.75">
      <c r="E506" s="416">
        <f t="shared" si="356"/>
        <v>44613</v>
      </c>
      <c r="F506" s="417">
        <f>+AQ469</f>
        <v>0</v>
      </c>
    </row>
    <row r="507" spans="5:6" ht="15.75">
      <c r="E507" s="416">
        <f t="shared" si="356"/>
        <v>44644</v>
      </c>
      <c r="F507" s="417">
        <f>+AR469</f>
        <v>0</v>
      </c>
    </row>
    <row r="508" spans="5:6" ht="15.75">
      <c r="E508" s="416">
        <f t="shared" si="356"/>
        <v>44675</v>
      </c>
      <c r="F508" s="417">
        <f>+AS469</f>
        <v>0</v>
      </c>
    </row>
    <row r="509" spans="5:6" ht="15.75">
      <c r="E509" s="416">
        <f t="shared" si="356"/>
        <v>44706</v>
      </c>
      <c r="F509" s="417">
        <f>+AT469</f>
        <v>0</v>
      </c>
    </row>
    <row r="510" spans="5:6" ht="15.75">
      <c r="E510" s="416">
        <f t="shared" si="356"/>
        <v>44737</v>
      </c>
      <c r="F510" s="417">
        <f>+AU469</f>
        <v>0</v>
      </c>
    </row>
    <row r="511" spans="5:6" ht="15.75">
      <c r="E511" s="416">
        <f t="shared" si="356"/>
        <v>44768</v>
      </c>
      <c r="F511" s="417">
        <f>+AV469</f>
        <v>0</v>
      </c>
    </row>
    <row r="512" spans="5:6" ht="15.75">
      <c r="E512" s="416">
        <f t="shared" si="356"/>
        <v>44799</v>
      </c>
      <c r="F512" s="417">
        <f>+AW469</f>
        <v>0</v>
      </c>
    </row>
    <row r="513" spans="5:6" ht="15.75">
      <c r="E513" s="416">
        <f t="shared" si="356"/>
        <v>44830</v>
      </c>
      <c r="F513" s="417">
        <f>+AX469</f>
        <v>0</v>
      </c>
    </row>
    <row r="514" spans="5:6" ht="15.75">
      <c r="E514" s="416">
        <f t="shared" si="356"/>
        <v>44861</v>
      </c>
      <c r="F514" s="417">
        <f>+AY469</f>
        <v>0</v>
      </c>
    </row>
    <row r="515" spans="5:6" ht="15.75">
      <c r="E515" s="416">
        <f t="shared" si="356"/>
        <v>44892</v>
      </c>
      <c r="F515" s="417">
        <f>+AZ469</f>
        <v>0</v>
      </c>
    </row>
    <row r="516" spans="5:6" ht="15.75">
      <c r="E516" s="416">
        <f t="shared" si="356"/>
        <v>44923</v>
      </c>
      <c r="F516" s="417">
        <f>+BA469</f>
        <v>0</v>
      </c>
    </row>
    <row r="517" spans="5:65" ht="15.75">
      <c r="E517" s="416">
        <f t="shared" si="356"/>
        <v>44954</v>
      </c>
      <c r="F517" s="417">
        <f>+BB469</f>
        <v>0</v>
      </c>
      <c r="G517" s="331"/>
      <c r="H517" s="331"/>
      <c r="I517" s="331"/>
      <c r="J517" s="331"/>
      <c r="K517" s="331"/>
      <c r="L517" s="331"/>
      <c r="M517" s="331"/>
      <c r="N517" s="331"/>
      <c r="O517" s="331"/>
      <c r="P517" s="331"/>
      <c r="Q517" s="331"/>
      <c r="R517" s="331"/>
      <c r="S517" s="331"/>
      <c r="T517" s="331"/>
      <c r="U517" s="331"/>
      <c r="V517" s="331"/>
      <c r="W517" s="331"/>
      <c r="X517" s="331"/>
      <c r="Y517" s="331"/>
      <c r="Z517" s="331"/>
      <c r="AA517" s="331"/>
      <c r="AB517" s="331"/>
      <c r="AC517" s="331"/>
      <c r="AD517" s="331"/>
      <c r="AE517" s="331"/>
      <c r="AF517" s="331"/>
      <c r="AG517" s="331"/>
      <c r="AH517" s="331"/>
      <c r="AI517" s="331"/>
      <c r="AJ517" s="331"/>
      <c r="AK517" s="331"/>
      <c r="AL517" s="331"/>
      <c r="AM517" s="331"/>
      <c r="AN517" s="331"/>
      <c r="AO517" s="331"/>
      <c r="AP517" s="331"/>
      <c r="AQ517" s="331"/>
      <c r="AR517" s="331"/>
      <c r="AS517" s="331"/>
      <c r="AT517" s="331"/>
      <c r="AU517" s="331"/>
      <c r="AV517" s="331"/>
      <c r="AW517" s="331"/>
      <c r="AX517" s="331"/>
      <c r="AY517" s="331"/>
      <c r="AZ517" s="331"/>
      <c r="BA517" s="331"/>
      <c r="BB517" s="331"/>
      <c r="BC517" s="331"/>
      <c r="BD517" s="331"/>
      <c r="BE517" s="331"/>
      <c r="BF517" s="331"/>
      <c r="BG517" s="331"/>
      <c r="BH517" s="331"/>
      <c r="BI517" s="331"/>
      <c r="BJ517" s="331"/>
      <c r="BK517" s="331"/>
      <c r="BL517" s="331"/>
      <c r="BM517" s="331"/>
    </row>
    <row r="518" spans="5:65" ht="15.75">
      <c r="E518" s="416">
        <f t="shared" si="356"/>
        <v>44985</v>
      </c>
      <c r="F518" s="417">
        <f>+BC469</f>
        <v>0</v>
      </c>
      <c r="G518" s="331"/>
      <c r="H518" s="331"/>
      <c r="I518" s="331"/>
      <c r="J518" s="331"/>
      <c r="K518" s="331"/>
      <c r="L518" s="331"/>
      <c r="M518" s="331"/>
      <c r="N518" s="331"/>
      <c r="O518" s="331"/>
      <c r="P518" s="331"/>
      <c r="Q518" s="331"/>
      <c r="R518" s="331"/>
      <c r="S518" s="331"/>
      <c r="T518" s="331"/>
      <c r="U518" s="331"/>
      <c r="V518" s="331"/>
      <c r="W518" s="331"/>
      <c r="X518" s="331"/>
      <c r="Y518" s="331"/>
      <c r="Z518" s="331"/>
      <c r="AA518" s="331"/>
      <c r="AB518" s="331"/>
      <c r="AC518" s="331"/>
      <c r="AD518" s="331"/>
      <c r="AE518" s="331"/>
      <c r="AF518" s="331"/>
      <c r="AG518" s="331"/>
      <c r="AH518" s="331"/>
      <c r="AI518" s="331"/>
      <c r="AJ518" s="331"/>
      <c r="AK518" s="331"/>
      <c r="AL518" s="331"/>
      <c r="AM518" s="331"/>
      <c r="AN518" s="331"/>
      <c r="AO518" s="331"/>
      <c r="AP518" s="331"/>
      <c r="AQ518" s="331"/>
      <c r="AR518" s="331"/>
      <c r="AS518" s="331"/>
      <c r="AT518" s="331"/>
      <c r="AU518" s="331"/>
      <c r="AV518" s="331"/>
      <c r="AW518" s="331"/>
      <c r="AX518" s="331"/>
      <c r="AY518" s="331"/>
      <c r="AZ518" s="331"/>
      <c r="BA518" s="331"/>
      <c r="BB518" s="331"/>
      <c r="BC518" s="331"/>
      <c r="BD518" s="331"/>
      <c r="BE518" s="331"/>
      <c r="BF518" s="331"/>
      <c r="BG518" s="331"/>
      <c r="BH518" s="331"/>
      <c r="BI518" s="331"/>
      <c r="BJ518" s="331"/>
      <c r="BK518" s="331"/>
      <c r="BL518" s="331"/>
      <c r="BM518" s="331"/>
    </row>
    <row r="519" spans="5:65" ht="15.75">
      <c r="E519" s="416">
        <f t="shared" si="356"/>
        <v>45016</v>
      </c>
      <c r="F519" s="417">
        <f>+BD469</f>
        <v>0</v>
      </c>
      <c r="G519" s="331"/>
      <c r="H519" s="331"/>
      <c r="I519" s="331"/>
      <c r="J519" s="331"/>
      <c r="K519" s="331"/>
      <c r="L519" s="331"/>
      <c r="M519" s="331"/>
      <c r="N519" s="331"/>
      <c r="O519" s="331"/>
      <c r="P519" s="331"/>
      <c r="Q519" s="331"/>
      <c r="R519" s="331"/>
      <c r="S519" s="331"/>
      <c r="T519" s="331"/>
      <c r="U519" s="331"/>
      <c r="V519" s="331"/>
      <c r="W519" s="331"/>
      <c r="X519" s="331"/>
      <c r="Y519" s="331"/>
      <c r="Z519" s="331"/>
      <c r="AA519" s="331"/>
      <c r="AB519" s="331"/>
      <c r="AC519" s="331"/>
      <c r="AD519" s="331"/>
      <c r="AE519" s="331"/>
      <c r="AF519" s="331"/>
      <c r="AG519" s="331"/>
      <c r="AH519" s="331"/>
      <c r="AI519" s="331"/>
      <c r="AJ519" s="331"/>
      <c r="AK519" s="331"/>
      <c r="AL519" s="331"/>
      <c r="AM519" s="331"/>
      <c r="AN519" s="331"/>
      <c r="AO519" s="331"/>
      <c r="AP519" s="331"/>
      <c r="AQ519" s="331"/>
      <c r="AR519" s="331"/>
      <c r="AS519" s="331"/>
      <c r="AT519" s="331"/>
      <c r="AU519" s="331"/>
      <c r="AV519" s="331"/>
      <c r="AW519" s="331"/>
      <c r="AX519" s="331"/>
      <c r="AY519" s="331"/>
      <c r="AZ519" s="331"/>
      <c r="BA519" s="331"/>
      <c r="BB519" s="331"/>
      <c r="BC519" s="331"/>
      <c r="BD519" s="331"/>
      <c r="BE519" s="331"/>
      <c r="BF519" s="331"/>
      <c r="BG519" s="331"/>
      <c r="BH519" s="331"/>
      <c r="BI519" s="331"/>
      <c r="BJ519" s="331"/>
      <c r="BK519" s="331"/>
      <c r="BL519" s="331"/>
      <c r="BM519" s="331"/>
    </row>
    <row r="520" spans="5:65" ht="15.75">
      <c r="E520" s="416">
        <f>+E519+10</f>
        <v>45026</v>
      </c>
      <c r="F520" s="417">
        <f>+BE469</f>
        <v>0</v>
      </c>
      <c r="G520" s="331"/>
      <c r="H520" s="331"/>
      <c r="I520" s="331"/>
      <c r="J520" s="331"/>
      <c r="K520" s="331"/>
      <c r="L520" s="331"/>
      <c r="M520" s="331"/>
      <c r="N520" s="331"/>
      <c r="O520" s="331"/>
      <c r="P520" s="331"/>
      <c r="Q520" s="331"/>
      <c r="R520" s="331"/>
      <c r="S520" s="331"/>
      <c r="T520" s="331"/>
      <c r="U520" s="331"/>
      <c r="V520" s="331"/>
      <c r="W520" s="331"/>
      <c r="X520" s="331"/>
      <c r="Y520" s="331"/>
      <c r="Z520" s="331"/>
      <c r="AA520" s="331"/>
      <c r="AB520" s="331"/>
      <c r="AC520" s="331"/>
      <c r="AD520" s="331"/>
      <c r="AE520" s="331"/>
      <c r="AF520" s="331"/>
      <c r="AG520" s="331"/>
      <c r="AH520" s="331"/>
      <c r="AI520" s="331"/>
      <c r="AJ520" s="331"/>
      <c r="AK520" s="331"/>
      <c r="AL520" s="331"/>
      <c r="AM520" s="331"/>
      <c r="AN520" s="331"/>
      <c r="AO520" s="331"/>
      <c r="AP520" s="331"/>
      <c r="AQ520" s="331"/>
      <c r="AR520" s="331"/>
      <c r="AS520" s="331"/>
      <c r="AT520" s="331"/>
      <c r="AU520" s="331"/>
      <c r="AV520" s="331"/>
      <c r="AW520" s="331"/>
      <c r="AX520" s="331"/>
      <c r="AY520" s="331"/>
      <c r="AZ520" s="331"/>
      <c r="BA520" s="331"/>
      <c r="BB520" s="331"/>
      <c r="BC520" s="331"/>
      <c r="BD520" s="331"/>
      <c r="BE520" s="331"/>
      <c r="BF520" s="331"/>
      <c r="BG520" s="331"/>
      <c r="BH520" s="331"/>
      <c r="BI520" s="331"/>
      <c r="BJ520" s="331"/>
      <c r="BK520" s="331"/>
      <c r="BL520" s="331"/>
      <c r="BM520" s="331"/>
    </row>
    <row r="521" spans="5:65" ht="15.75">
      <c r="E521" s="416">
        <f t="shared" si="356"/>
        <v>45057</v>
      </c>
      <c r="F521" s="417">
        <f>+BF469</f>
        <v>0</v>
      </c>
      <c r="G521" s="331"/>
      <c r="H521" s="331"/>
      <c r="I521" s="331"/>
      <c r="J521" s="331"/>
      <c r="K521" s="331"/>
      <c r="L521" s="331"/>
      <c r="M521" s="331"/>
      <c r="N521" s="331"/>
      <c r="O521" s="331"/>
      <c r="P521" s="331"/>
      <c r="Q521" s="331"/>
      <c r="R521" s="331"/>
      <c r="S521" s="331"/>
      <c r="T521" s="331"/>
      <c r="U521" s="331"/>
      <c r="V521" s="331"/>
      <c r="W521" s="331"/>
      <c r="X521" s="331"/>
      <c r="Y521" s="331"/>
      <c r="Z521" s="331"/>
      <c r="AA521" s="331"/>
      <c r="AB521" s="331"/>
      <c r="AC521" s="331"/>
      <c r="AD521" s="331"/>
      <c r="AE521" s="331"/>
      <c r="AF521" s="331"/>
      <c r="AG521" s="331"/>
      <c r="AH521" s="331"/>
      <c r="AI521" s="331"/>
      <c r="AJ521" s="331"/>
      <c r="AK521" s="331"/>
      <c r="AL521" s="331"/>
      <c r="AM521" s="331"/>
      <c r="AN521" s="331"/>
      <c r="AO521" s="331"/>
      <c r="AP521" s="331"/>
      <c r="AQ521" s="331"/>
      <c r="AR521" s="331"/>
      <c r="AS521" s="331"/>
      <c r="AT521" s="331"/>
      <c r="AU521" s="331"/>
      <c r="AV521" s="331"/>
      <c r="AW521" s="331"/>
      <c r="AX521" s="331"/>
      <c r="AY521" s="331"/>
      <c r="AZ521" s="331"/>
      <c r="BA521" s="331"/>
      <c r="BB521" s="331"/>
      <c r="BC521" s="331"/>
      <c r="BD521" s="331"/>
      <c r="BE521" s="331"/>
      <c r="BF521" s="331"/>
      <c r="BG521" s="331"/>
      <c r="BH521" s="331"/>
      <c r="BI521" s="331"/>
      <c r="BJ521" s="331"/>
      <c r="BK521" s="331"/>
      <c r="BL521" s="331"/>
      <c r="BM521" s="331"/>
    </row>
    <row r="522" spans="5:65" ht="15.75">
      <c r="E522" s="416">
        <f t="shared" si="356"/>
        <v>45088</v>
      </c>
      <c r="F522" s="417">
        <f>+BG469</f>
        <v>0</v>
      </c>
      <c r="G522" s="331"/>
      <c r="H522" s="331"/>
      <c r="I522" s="331"/>
      <c r="J522" s="331"/>
      <c r="K522" s="331"/>
      <c r="L522" s="331"/>
      <c r="M522" s="331"/>
      <c r="N522" s="331"/>
      <c r="O522" s="331"/>
      <c r="P522" s="331"/>
      <c r="Q522" s="331"/>
      <c r="R522" s="331"/>
      <c r="S522" s="331"/>
      <c r="T522" s="331"/>
      <c r="U522" s="331"/>
      <c r="V522" s="331"/>
      <c r="W522" s="331"/>
      <c r="X522" s="331"/>
      <c r="Y522" s="331"/>
      <c r="Z522" s="331"/>
      <c r="AA522" s="331"/>
      <c r="AB522" s="331"/>
      <c r="AC522" s="331"/>
      <c r="AD522" s="331"/>
      <c r="AE522" s="331"/>
      <c r="AF522" s="331"/>
      <c r="AG522" s="331"/>
      <c r="AH522" s="331"/>
      <c r="AI522" s="331"/>
      <c r="AJ522" s="331"/>
      <c r="AK522" s="331"/>
      <c r="AL522" s="331"/>
      <c r="AM522" s="331"/>
      <c r="AN522" s="331"/>
      <c r="AO522" s="331"/>
      <c r="AP522" s="331"/>
      <c r="AQ522" s="331"/>
      <c r="AR522" s="331"/>
      <c r="AS522" s="331"/>
      <c r="AT522" s="331"/>
      <c r="AU522" s="331"/>
      <c r="AV522" s="331"/>
      <c r="AW522" s="331"/>
      <c r="AX522" s="331"/>
      <c r="AY522" s="331"/>
      <c r="AZ522" s="331"/>
      <c r="BA522" s="331"/>
      <c r="BB522" s="331"/>
      <c r="BC522" s="331"/>
      <c r="BD522" s="331"/>
      <c r="BE522" s="331"/>
      <c r="BF522" s="331"/>
      <c r="BG522" s="331"/>
      <c r="BH522" s="331"/>
      <c r="BI522" s="331"/>
      <c r="BJ522" s="331"/>
      <c r="BK522" s="331"/>
      <c r="BL522" s="331"/>
      <c r="BM522" s="331"/>
    </row>
    <row r="523" spans="5:65" ht="15.75">
      <c r="E523" s="416">
        <f t="shared" si="356"/>
        <v>45119</v>
      </c>
      <c r="F523" s="417">
        <f>+BH469</f>
        <v>0</v>
      </c>
      <c r="G523" s="331"/>
      <c r="H523" s="331"/>
      <c r="I523" s="331"/>
      <c r="J523" s="331"/>
      <c r="K523" s="331"/>
      <c r="L523" s="331"/>
      <c r="M523" s="331"/>
      <c r="N523" s="331"/>
      <c r="O523" s="331"/>
      <c r="P523" s="331"/>
      <c r="Q523" s="331"/>
      <c r="R523" s="331"/>
      <c r="S523" s="331"/>
      <c r="T523" s="331"/>
      <c r="U523" s="331"/>
      <c r="V523" s="331"/>
      <c r="W523" s="331"/>
      <c r="X523" s="331"/>
      <c r="Y523" s="331"/>
      <c r="Z523" s="331"/>
      <c r="AA523" s="331"/>
      <c r="AB523" s="331"/>
      <c r="AC523" s="331"/>
      <c r="AD523" s="331"/>
      <c r="AE523" s="331"/>
      <c r="AF523" s="331"/>
      <c r="AG523" s="331"/>
      <c r="AH523" s="331"/>
      <c r="AI523" s="331"/>
      <c r="AJ523" s="331"/>
      <c r="AK523" s="331"/>
      <c r="AL523" s="331"/>
      <c r="AM523" s="331"/>
      <c r="AN523" s="331"/>
      <c r="AO523" s="331"/>
      <c r="AP523" s="331"/>
      <c r="AQ523" s="331"/>
      <c r="AR523" s="331"/>
      <c r="AS523" s="331"/>
      <c r="AT523" s="331"/>
      <c r="AU523" s="331"/>
      <c r="AV523" s="331"/>
      <c r="AW523" s="331"/>
      <c r="AX523" s="331"/>
      <c r="AY523" s="331"/>
      <c r="AZ523" s="331"/>
      <c r="BA523" s="331"/>
      <c r="BB523" s="331"/>
      <c r="BC523" s="331"/>
      <c r="BD523" s="331"/>
      <c r="BE523" s="331"/>
      <c r="BF523" s="331"/>
      <c r="BG523" s="331"/>
      <c r="BH523" s="331"/>
      <c r="BI523" s="331"/>
      <c r="BJ523" s="331"/>
      <c r="BK523" s="331"/>
      <c r="BL523" s="331"/>
      <c r="BM523" s="331"/>
    </row>
    <row r="524" spans="5:65" ht="15.75">
      <c r="E524" s="416">
        <f t="shared" si="356"/>
        <v>45150</v>
      </c>
      <c r="F524" s="417">
        <f>+BI469</f>
        <v>0</v>
      </c>
      <c r="G524" s="331"/>
      <c r="H524" s="331"/>
      <c r="I524" s="331"/>
      <c r="J524" s="331"/>
      <c r="K524" s="331"/>
      <c r="L524" s="331"/>
      <c r="M524" s="331"/>
      <c r="N524" s="331"/>
      <c r="O524" s="331"/>
      <c r="P524" s="331"/>
      <c r="Q524" s="331"/>
      <c r="R524" s="331"/>
      <c r="S524" s="331"/>
      <c r="T524" s="331"/>
      <c r="U524" s="331"/>
      <c r="V524" s="331"/>
      <c r="W524" s="331"/>
      <c r="X524" s="331"/>
      <c r="Y524" s="331"/>
      <c r="Z524" s="331"/>
      <c r="AA524" s="331"/>
      <c r="AB524" s="331"/>
      <c r="AC524" s="331"/>
      <c r="AD524" s="331"/>
      <c r="AE524" s="331"/>
      <c r="AF524" s="331"/>
      <c r="AG524" s="331"/>
      <c r="AH524" s="331"/>
      <c r="AI524" s="331"/>
      <c r="AJ524" s="331"/>
      <c r="AK524" s="331"/>
      <c r="AL524" s="331"/>
      <c r="AM524" s="331"/>
      <c r="AN524" s="331"/>
      <c r="AO524" s="331"/>
      <c r="AP524" s="331"/>
      <c r="AQ524" s="331"/>
      <c r="AR524" s="331"/>
      <c r="AS524" s="331"/>
      <c r="AT524" s="331"/>
      <c r="AU524" s="331"/>
      <c r="AV524" s="331"/>
      <c r="AW524" s="331"/>
      <c r="AX524" s="331"/>
      <c r="AY524" s="331"/>
      <c r="AZ524" s="331"/>
      <c r="BA524" s="331"/>
      <c r="BB524" s="331"/>
      <c r="BC524" s="331"/>
      <c r="BD524" s="331"/>
      <c r="BE524" s="331"/>
      <c r="BF524" s="331"/>
      <c r="BG524" s="331"/>
      <c r="BH524" s="331"/>
      <c r="BI524" s="331"/>
      <c r="BJ524" s="331"/>
      <c r="BK524" s="331"/>
      <c r="BL524" s="331"/>
      <c r="BM524" s="331"/>
    </row>
    <row r="525" spans="5:65" ht="15.75">
      <c r="E525" s="416">
        <f t="shared" si="356"/>
        <v>45181</v>
      </c>
      <c r="F525" s="417">
        <f>+BJ469</f>
        <v>0</v>
      </c>
      <c r="G525" s="331"/>
      <c r="H525" s="331"/>
      <c r="I525" s="331"/>
      <c r="J525" s="331"/>
      <c r="K525" s="331"/>
      <c r="L525" s="331"/>
      <c r="M525" s="331"/>
      <c r="N525" s="331"/>
      <c r="O525" s="331"/>
      <c r="P525" s="331"/>
      <c r="Q525" s="331"/>
      <c r="R525" s="331"/>
      <c r="S525" s="331"/>
      <c r="T525" s="331"/>
      <c r="U525" s="331"/>
      <c r="V525" s="331"/>
      <c r="W525" s="331"/>
      <c r="X525" s="331"/>
      <c r="Y525" s="331"/>
      <c r="Z525" s="331"/>
      <c r="AA525" s="331"/>
      <c r="AB525" s="331"/>
      <c r="AC525" s="331"/>
      <c r="AD525" s="331"/>
      <c r="AE525" s="331"/>
      <c r="AF525" s="331"/>
      <c r="AG525" s="331"/>
      <c r="AH525" s="331"/>
      <c r="AI525" s="331"/>
      <c r="AJ525" s="331"/>
      <c r="AK525" s="331"/>
      <c r="AL525" s="331"/>
      <c r="AM525" s="331"/>
      <c r="AN525" s="331"/>
      <c r="AO525" s="331"/>
      <c r="AP525" s="331"/>
      <c r="AQ525" s="331"/>
      <c r="AR525" s="331"/>
      <c r="AS525" s="331"/>
      <c r="AT525" s="331"/>
      <c r="AU525" s="331"/>
      <c r="AV525" s="331"/>
      <c r="AW525" s="331"/>
      <c r="AX525" s="331"/>
      <c r="AY525" s="331"/>
      <c r="AZ525" s="331"/>
      <c r="BA525" s="331"/>
      <c r="BB525" s="331"/>
      <c r="BC525" s="331"/>
      <c r="BD525" s="331"/>
      <c r="BE525" s="331"/>
      <c r="BF525" s="331"/>
      <c r="BG525" s="331"/>
      <c r="BH525" s="331"/>
      <c r="BI525" s="331"/>
      <c r="BJ525" s="331"/>
      <c r="BK525" s="331"/>
      <c r="BL525" s="331"/>
      <c r="BM525" s="331"/>
    </row>
    <row r="526" spans="5:65" ht="15.75">
      <c r="E526" s="416">
        <f t="shared" si="356"/>
        <v>45212</v>
      </c>
      <c r="F526" s="417">
        <f>+BK469</f>
        <v>0</v>
      </c>
      <c r="G526" s="331"/>
      <c r="H526" s="331"/>
      <c r="I526" s="331"/>
      <c r="J526" s="331"/>
      <c r="K526" s="331"/>
      <c r="L526" s="331"/>
      <c r="M526" s="331"/>
      <c r="N526" s="331"/>
      <c r="O526" s="331"/>
      <c r="P526" s="331"/>
      <c r="Q526" s="331"/>
      <c r="R526" s="331"/>
      <c r="S526" s="331"/>
      <c r="T526" s="331"/>
      <c r="U526" s="331"/>
      <c r="V526" s="331"/>
      <c r="W526" s="331"/>
      <c r="X526" s="331"/>
      <c r="Y526" s="331"/>
      <c r="Z526" s="331"/>
      <c r="AA526" s="331"/>
      <c r="AB526" s="331"/>
      <c r="AC526" s="331"/>
      <c r="AD526" s="331"/>
      <c r="AE526" s="331"/>
      <c r="AF526" s="331"/>
      <c r="AG526" s="331"/>
      <c r="AH526" s="331"/>
      <c r="AI526" s="331"/>
      <c r="AJ526" s="331"/>
      <c r="AK526" s="331"/>
      <c r="AL526" s="331"/>
      <c r="AM526" s="331"/>
      <c r="AN526" s="331"/>
      <c r="AO526" s="331"/>
      <c r="AP526" s="331"/>
      <c r="AQ526" s="331"/>
      <c r="AR526" s="331"/>
      <c r="AS526" s="331"/>
      <c r="AT526" s="331"/>
      <c r="AU526" s="331"/>
      <c r="AV526" s="331"/>
      <c r="AW526" s="331"/>
      <c r="AX526" s="331"/>
      <c r="AY526" s="331"/>
      <c r="AZ526" s="331"/>
      <c r="BA526" s="331"/>
      <c r="BB526" s="331"/>
      <c r="BC526" s="331"/>
      <c r="BD526" s="331"/>
      <c r="BE526" s="331"/>
      <c r="BF526" s="331"/>
      <c r="BG526" s="331"/>
      <c r="BH526" s="331"/>
      <c r="BI526" s="331"/>
      <c r="BJ526" s="331"/>
      <c r="BK526" s="331"/>
      <c r="BL526" s="331"/>
      <c r="BM526" s="331"/>
    </row>
    <row r="527" spans="5:65" ht="15.75">
      <c r="E527" s="416">
        <f t="shared" si="356"/>
        <v>45243</v>
      </c>
      <c r="F527" s="417">
        <f>+BL469</f>
        <v>0</v>
      </c>
      <c r="G527" s="331"/>
      <c r="H527" s="331"/>
      <c r="I527" s="331"/>
      <c r="J527" s="331"/>
      <c r="K527" s="331"/>
      <c r="L527" s="331"/>
      <c r="M527" s="331"/>
      <c r="N527" s="331"/>
      <c r="O527" s="331"/>
      <c r="P527" s="331"/>
      <c r="Q527" s="331"/>
      <c r="R527" s="331"/>
      <c r="S527" s="331"/>
      <c r="T527" s="331"/>
      <c r="U527" s="331"/>
      <c r="V527" s="331"/>
      <c r="W527" s="331"/>
      <c r="X527" s="331"/>
      <c r="Y527" s="331"/>
      <c r="Z527" s="331"/>
      <c r="AA527" s="331"/>
      <c r="AB527" s="331"/>
      <c r="AC527" s="331"/>
      <c r="AD527" s="331"/>
      <c r="AE527" s="331"/>
      <c r="AF527" s="331"/>
      <c r="AG527" s="331"/>
      <c r="AH527" s="331"/>
      <c r="AI527" s="331"/>
      <c r="AJ527" s="331"/>
      <c r="AK527" s="331"/>
      <c r="AL527" s="331"/>
      <c r="AM527" s="331"/>
      <c r="AN527" s="331"/>
      <c r="AO527" s="331"/>
      <c r="AP527" s="331"/>
      <c r="AQ527" s="331"/>
      <c r="AR527" s="331"/>
      <c r="AS527" s="331"/>
      <c r="AT527" s="331"/>
      <c r="AU527" s="331"/>
      <c r="AV527" s="331"/>
      <c r="AW527" s="331"/>
      <c r="AX527" s="331"/>
      <c r="AY527" s="331"/>
      <c r="AZ527" s="331"/>
      <c r="BA527" s="331"/>
      <c r="BB527" s="331"/>
      <c r="BC527" s="331"/>
      <c r="BD527" s="331"/>
      <c r="BE527" s="331"/>
      <c r="BF527" s="331"/>
      <c r="BG527" s="331"/>
      <c r="BH527" s="331"/>
      <c r="BI527" s="331"/>
      <c r="BJ527" s="331"/>
      <c r="BK527" s="331"/>
      <c r="BL527" s="331"/>
      <c r="BM527" s="331"/>
    </row>
    <row r="528" spans="5:65" ht="15.75">
      <c r="E528" s="416">
        <f t="shared" si="356"/>
        <v>45274</v>
      </c>
      <c r="F528" s="417">
        <f>+BM469</f>
        <v>0</v>
      </c>
      <c r="G528" s="331"/>
      <c r="H528" s="331"/>
      <c r="I528" s="331"/>
      <c r="J528" s="331"/>
      <c r="K528" s="331"/>
      <c r="L528" s="331"/>
      <c r="M528" s="331"/>
      <c r="N528" s="331"/>
      <c r="O528" s="331"/>
      <c r="P528" s="331"/>
      <c r="Q528" s="331"/>
      <c r="R528" s="331"/>
      <c r="S528" s="331"/>
      <c r="T528" s="331"/>
      <c r="U528" s="331"/>
      <c r="V528" s="331"/>
      <c r="W528" s="331"/>
      <c r="X528" s="331"/>
      <c r="Y528" s="331"/>
      <c r="Z528" s="331"/>
      <c r="AA528" s="331"/>
      <c r="AB528" s="331"/>
      <c r="AC528" s="331"/>
      <c r="AD528" s="331"/>
      <c r="AE528" s="331"/>
      <c r="AF528" s="331"/>
      <c r="AG528" s="331"/>
      <c r="AH528" s="331"/>
      <c r="AI528" s="331"/>
      <c r="AJ528" s="331"/>
      <c r="AK528" s="331"/>
      <c r="AL528" s="331"/>
      <c r="AM528" s="331"/>
      <c r="AN528" s="331"/>
      <c r="AO528" s="331"/>
      <c r="AP528" s="331"/>
      <c r="AQ528" s="331"/>
      <c r="AR528" s="331"/>
      <c r="AS528" s="331"/>
      <c r="AT528" s="331"/>
      <c r="AU528" s="331"/>
      <c r="AV528" s="331"/>
      <c r="AW528" s="331"/>
      <c r="AX528" s="331"/>
      <c r="AY528" s="331"/>
      <c r="AZ528" s="331"/>
      <c r="BA528" s="331"/>
      <c r="BB528" s="331"/>
      <c r="BC528" s="331"/>
      <c r="BD528" s="331"/>
      <c r="BE528" s="331"/>
      <c r="BF528" s="331"/>
      <c r="BG528" s="331"/>
      <c r="BH528" s="331"/>
      <c r="BI528" s="331"/>
      <c r="BJ528" s="331"/>
      <c r="BK528" s="331"/>
      <c r="BL528" s="331"/>
      <c r="BM528" s="331"/>
    </row>
  </sheetData>
  <mergeCells count="7">
    <mergeCell ref="D9:E9"/>
    <mergeCell ref="D10:E10"/>
    <mergeCell ref="D2:E2"/>
    <mergeCell ref="D6:E6"/>
    <mergeCell ref="D5:E5"/>
    <mergeCell ref="D4:E4"/>
    <mergeCell ref="D8:E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08F9D-9B27-5141-9ED5-4E122DCFFC70}">
  <dimension ref="B2:AB31"/>
  <sheetViews>
    <sheetView zoomScale="70" zoomScaleNormal="70" workbookViewId="0" topLeftCell="A1">
      <selection activeCell="K34" sqref="K34"/>
    </sheetView>
  </sheetViews>
  <sheetFormatPr defaultColWidth="10.75390625" defaultRowHeight="15.75"/>
  <cols>
    <col min="1" max="1" width="10.75390625" style="2" customWidth="1"/>
    <col min="2" max="2" width="26.75390625" style="2" customWidth="1"/>
    <col min="3" max="5" width="19.75390625" style="2" customWidth="1"/>
    <col min="6" max="6" width="19.75390625" style="81" customWidth="1"/>
    <col min="7" max="7" width="15.75390625" style="2" customWidth="1"/>
    <col min="8" max="8" width="26.75390625" style="2" customWidth="1"/>
    <col min="9" max="12" width="19.75390625" style="2" customWidth="1"/>
    <col min="13" max="16384" width="10.75390625" style="2" customWidth="1"/>
  </cols>
  <sheetData>
    <row r="2" spans="12:28" ht="16.2" thickBot="1">
      <c r="L2" s="367"/>
      <c r="AB2" s="81"/>
    </row>
    <row r="3" spans="2:28" ht="16.05" customHeight="1">
      <c r="B3" s="1692" t="s">
        <v>393</v>
      </c>
      <c r="C3" s="1693"/>
      <c r="D3" s="1064"/>
      <c r="E3" s="1064"/>
      <c r="L3" s="367"/>
      <c r="AB3" s="81"/>
    </row>
    <row r="4" spans="2:28" ht="15.75">
      <c r="B4" s="1694"/>
      <c r="C4" s="1695"/>
      <c r="D4" s="1064"/>
      <c r="E4" s="1064"/>
      <c r="L4" s="367"/>
      <c r="AB4" s="81"/>
    </row>
    <row r="5" spans="2:28" ht="16.2" thickBot="1">
      <c r="B5" s="1696"/>
      <c r="C5" s="1697"/>
      <c r="D5" s="1064"/>
      <c r="E5" s="1064"/>
      <c r="L5" s="367"/>
      <c r="AB5" s="81"/>
    </row>
    <row r="6" spans="12:28" ht="16.2" thickBot="1">
      <c r="L6" s="367"/>
      <c r="AB6" s="81"/>
    </row>
    <row r="7" spans="2:28" ht="16.2" thickBot="1">
      <c r="B7" s="1698" t="s">
        <v>394</v>
      </c>
      <c r="C7" s="1699"/>
      <c r="D7" s="1699"/>
      <c r="E7" s="1699"/>
      <c r="F7" s="1700"/>
      <c r="H7" s="1698" t="s">
        <v>395</v>
      </c>
      <c r="I7" s="1699"/>
      <c r="J7" s="1699"/>
      <c r="K7" s="1699"/>
      <c r="L7" s="1700"/>
      <c r="AB7" s="81"/>
    </row>
    <row r="8" spans="2:28" s="101" customFormat="1" ht="16.2" thickBot="1">
      <c r="B8" s="1069" t="s">
        <v>396</v>
      </c>
      <c r="C8" s="1070" t="s">
        <v>397</v>
      </c>
      <c r="D8" s="1070" t="s">
        <v>398</v>
      </c>
      <c r="E8" s="1070" t="s">
        <v>404</v>
      </c>
      <c r="F8" s="1071" t="s">
        <v>399</v>
      </c>
      <c r="H8" s="1069" t="s">
        <v>396</v>
      </c>
      <c r="I8" s="1070" t="s">
        <v>397</v>
      </c>
      <c r="J8" s="1070" t="s">
        <v>398</v>
      </c>
      <c r="K8" s="1070" t="s">
        <v>400</v>
      </c>
      <c r="L8" s="1071" t="s">
        <v>399</v>
      </c>
      <c r="AB8" s="367"/>
    </row>
    <row r="9" spans="2:12" ht="15.75">
      <c r="B9" s="1072" t="s">
        <v>532</v>
      </c>
      <c r="C9" s="1085">
        <v>45</v>
      </c>
      <c r="D9" s="1086">
        <f aca="true" t="shared" si="0" ref="D9:D22">+IF(E9&gt;0,E9-C9,0)</f>
        <v>0</v>
      </c>
      <c r="E9" s="1097"/>
      <c r="F9" s="1073">
        <f>+C9/$C$23</f>
        <v>0.45</v>
      </c>
      <c r="H9" s="1072" t="str">
        <f>+B9</f>
        <v>Camillo Castellani</v>
      </c>
      <c r="I9" s="1093">
        <f>+C9</f>
        <v>45</v>
      </c>
      <c r="J9" s="1093">
        <f>+D9</f>
        <v>0</v>
      </c>
      <c r="K9" s="1093"/>
      <c r="L9" s="1073">
        <f aca="true" t="shared" si="1" ref="L9:L11">+I9/$I$23</f>
        <v>0.36818181818181817</v>
      </c>
    </row>
    <row r="10" spans="2:12" ht="15.75">
      <c r="B10" s="1072" t="s">
        <v>533</v>
      </c>
      <c r="C10" s="1087">
        <v>45</v>
      </c>
      <c r="D10" s="1088">
        <f t="shared" si="0"/>
        <v>0</v>
      </c>
      <c r="E10" s="1087"/>
      <c r="F10" s="1074">
        <f>+C10/$C$23</f>
        <v>0.45</v>
      </c>
      <c r="H10" s="1072" t="str">
        <f aca="true" t="shared" si="2" ref="H10:J11">+B10</f>
        <v>Paolo Castioni</v>
      </c>
      <c r="I10" s="1094">
        <f t="shared" si="2"/>
        <v>45</v>
      </c>
      <c r="J10" s="1094">
        <f t="shared" si="2"/>
        <v>0</v>
      </c>
      <c r="K10" s="1094"/>
      <c r="L10" s="1074">
        <f t="shared" si="1"/>
        <v>0.36818181818181817</v>
      </c>
    </row>
    <row r="11" spans="2:12" ht="15.75">
      <c r="B11" s="1072" t="s">
        <v>534</v>
      </c>
      <c r="C11" s="1087">
        <v>10</v>
      </c>
      <c r="D11" s="1088">
        <f t="shared" si="0"/>
        <v>0</v>
      </c>
      <c r="E11" s="1087"/>
      <c r="F11" s="1074">
        <f>+C11/$C$23</f>
        <v>0.1</v>
      </c>
      <c r="H11" s="1072" t="str">
        <f t="shared" si="2"/>
        <v>Biagio Castellani</v>
      </c>
      <c r="I11" s="1094">
        <f t="shared" si="2"/>
        <v>10</v>
      </c>
      <c r="J11" s="1094">
        <f t="shared" si="2"/>
        <v>0</v>
      </c>
      <c r="K11" s="1094"/>
      <c r="L11" s="1074">
        <f t="shared" si="1"/>
        <v>0.08181818181818182</v>
      </c>
    </row>
    <row r="12" spans="2:12" ht="15.75">
      <c r="B12" s="1072"/>
      <c r="C12" s="1087"/>
      <c r="D12" s="1088"/>
      <c r="E12" s="1087"/>
      <c r="F12" s="1074"/>
      <c r="H12" s="1072"/>
      <c r="I12" s="1094"/>
      <c r="J12" s="1094"/>
      <c r="K12" s="1094"/>
      <c r="L12" s="1074"/>
    </row>
    <row r="13" spans="2:12" ht="15.75">
      <c r="B13" s="1072"/>
      <c r="C13" s="1087"/>
      <c r="D13" s="1088"/>
      <c r="E13" s="1087"/>
      <c r="F13" s="1074"/>
      <c r="H13" s="1072"/>
      <c r="I13" s="1094"/>
      <c r="J13" s="1094"/>
      <c r="K13" s="1094"/>
      <c r="L13" s="1074"/>
    </row>
    <row r="14" spans="2:12" ht="15.75">
      <c r="B14" s="1072"/>
      <c r="C14" s="1087"/>
      <c r="D14" s="1088"/>
      <c r="E14" s="1087"/>
      <c r="F14" s="1074"/>
      <c r="H14" s="1072"/>
      <c r="I14" s="1094"/>
      <c r="J14" s="1094"/>
      <c r="K14" s="1094"/>
      <c r="L14" s="1074"/>
    </row>
    <row r="15" spans="2:12" ht="15.75">
      <c r="B15" s="1072"/>
      <c r="C15" s="1087"/>
      <c r="D15" s="1088"/>
      <c r="E15" s="1087"/>
      <c r="F15" s="1074"/>
      <c r="H15" s="1072"/>
      <c r="I15" s="1094"/>
      <c r="J15" s="1094"/>
      <c r="K15" s="1094"/>
      <c r="L15" s="1074"/>
    </row>
    <row r="16" spans="2:12" ht="15.75">
      <c r="B16" s="1072"/>
      <c r="C16" s="1087"/>
      <c r="D16" s="1088"/>
      <c r="E16" s="1087"/>
      <c r="F16" s="1074"/>
      <c r="H16" s="1072"/>
      <c r="I16" s="1094"/>
      <c r="J16" s="1094"/>
      <c r="K16" s="1094"/>
      <c r="L16" s="1074"/>
    </row>
    <row r="17" spans="2:12" ht="15.75">
      <c r="B17" s="1072"/>
      <c r="C17" s="1087"/>
      <c r="D17" s="1088"/>
      <c r="E17" s="1087"/>
      <c r="F17" s="1074"/>
      <c r="H17" s="1072"/>
      <c r="I17" s="1094"/>
      <c r="J17" s="1094"/>
      <c r="K17" s="1094"/>
      <c r="L17" s="1074"/>
    </row>
    <row r="18" spans="2:12" ht="15.75">
      <c r="B18" s="1072"/>
      <c r="C18" s="1087"/>
      <c r="D18" s="1088"/>
      <c r="E18" s="1087"/>
      <c r="F18" s="1074"/>
      <c r="H18" s="1072"/>
      <c r="I18" s="1094"/>
      <c r="J18" s="1094"/>
      <c r="K18" s="1094"/>
      <c r="L18" s="1074"/>
    </row>
    <row r="19" spans="2:12" ht="15.75">
      <c r="B19" s="1072"/>
      <c r="C19" s="1087"/>
      <c r="D19" s="1088"/>
      <c r="E19" s="1087"/>
      <c r="F19" s="1074"/>
      <c r="H19" s="1072"/>
      <c r="I19" s="1094"/>
      <c r="J19" s="1094"/>
      <c r="K19" s="1094"/>
      <c r="L19" s="1074"/>
    </row>
    <row r="20" spans="2:12" ht="15.75">
      <c r="B20" s="1072"/>
      <c r="C20" s="1087"/>
      <c r="D20" s="1088"/>
      <c r="E20" s="1087"/>
      <c r="F20" s="1074"/>
      <c r="H20" s="1072"/>
      <c r="I20" s="1094"/>
      <c r="J20" s="1094"/>
      <c r="K20" s="1094"/>
      <c r="L20" s="1074"/>
    </row>
    <row r="21" spans="2:12" ht="15.75">
      <c r="B21" s="1072"/>
      <c r="C21" s="1087"/>
      <c r="D21" s="1088"/>
      <c r="E21" s="1087"/>
      <c r="F21" s="1074"/>
      <c r="H21" s="1072"/>
      <c r="I21" s="1094"/>
      <c r="J21" s="1094"/>
      <c r="K21" s="1094"/>
      <c r="L21" s="1074"/>
    </row>
    <row r="22" spans="2:12" ht="15.75">
      <c r="B22" s="1075"/>
      <c r="C22" s="1089"/>
      <c r="D22" s="1090">
        <f t="shared" si="0"/>
        <v>0</v>
      </c>
      <c r="E22" s="1087"/>
      <c r="F22" s="1076"/>
      <c r="H22" s="1077" t="s">
        <v>401</v>
      </c>
      <c r="I22" s="1095">
        <f>+(SUM(I9:I21))/(1/I29-1)</f>
        <v>22.22222222222222</v>
      </c>
      <c r="J22" s="1095">
        <f>+K22-I22</f>
        <v>199977.77777777778</v>
      </c>
      <c r="K22" s="1095">
        <f>+I28</f>
        <v>200000</v>
      </c>
      <c r="L22" s="1078">
        <f>+I22/$I$23</f>
        <v>0.1818181818181818</v>
      </c>
    </row>
    <row r="23" spans="2:12" s="101" customFormat="1" ht="16.2" thickBot="1">
      <c r="B23" s="1079" t="s">
        <v>205</v>
      </c>
      <c r="C23" s="1091">
        <f>+SUM(C9:C22)</f>
        <v>100</v>
      </c>
      <c r="D23" s="1092">
        <f>+IF(E23&gt;0,E23-C23,0)</f>
        <v>0</v>
      </c>
      <c r="E23" s="1091">
        <f>+SUM(E9:E22)</f>
        <v>0</v>
      </c>
      <c r="F23" s="1080">
        <f>+SUM(F9:F22)</f>
        <v>1</v>
      </c>
      <c r="H23" s="1079" t="s">
        <v>205</v>
      </c>
      <c r="I23" s="1096">
        <f>+SUM(I9:I22)</f>
        <v>122.22222222222223</v>
      </c>
      <c r="J23" s="1096">
        <f>+K23-I23</f>
        <v>199877.77777777778</v>
      </c>
      <c r="K23" s="1096">
        <f>+SUM(K9:K22)</f>
        <v>200000</v>
      </c>
      <c r="L23" s="1080">
        <f>+SUM(L9:L22)</f>
        <v>0.9999999999999999</v>
      </c>
    </row>
    <row r="24" ht="15.75">
      <c r="L24" s="81"/>
    </row>
    <row r="25" spans="9:12" ht="15.75">
      <c r="I25" s="1065"/>
      <c r="K25" s="1065"/>
      <c r="L25" s="81"/>
    </row>
    <row r="26" spans="2:12" ht="15.75">
      <c r="B26" s="1081"/>
      <c r="C26" s="630"/>
      <c r="H26" s="1081" t="s">
        <v>402</v>
      </c>
      <c r="I26" s="630">
        <f>+Valuation!D135</f>
        <v>900000</v>
      </c>
      <c r="K26" s="1082"/>
      <c r="L26" s="81"/>
    </row>
    <row r="27" spans="2:12" ht="15.75">
      <c r="B27" s="1081"/>
      <c r="C27" s="630"/>
      <c r="D27" s="1028"/>
      <c r="E27" s="1028"/>
      <c r="F27" s="967"/>
      <c r="H27" s="5" t="s">
        <v>403</v>
      </c>
      <c r="I27" s="99">
        <f>+I26+I28</f>
        <v>1100000</v>
      </c>
      <c r="J27" s="1028"/>
      <c r="K27" s="1083"/>
      <c r="L27" s="967"/>
    </row>
    <row r="28" spans="2:12" ht="15.75">
      <c r="B28" s="1081"/>
      <c r="C28" s="1084"/>
      <c r="D28" s="1028"/>
      <c r="E28" s="1028"/>
      <c r="F28" s="967"/>
      <c r="H28" s="1081" t="s">
        <v>404</v>
      </c>
      <c r="I28" s="630">
        <f>+'Cash Flow Statement'!N25</f>
        <v>200000</v>
      </c>
      <c r="J28" s="1028"/>
      <c r="L28" s="967"/>
    </row>
    <row r="29" spans="2:9" ht="15.75">
      <c r="B29" s="99"/>
      <c r="C29" s="1028"/>
      <c r="D29" s="1028"/>
      <c r="E29" s="1028"/>
      <c r="F29" s="967"/>
      <c r="H29" s="1081" t="s">
        <v>405</v>
      </c>
      <c r="I29" s="1084">
        <f>+I28/I27</f>
        <v>0.18181818181818182</v>
      </c>
    </row>
    <row r="30" spans="2:6" ht="15.75">
      <c r="B30" s="99"/>
      <c r="C30" s="1028"/>
      <c r="D30" s="1028"/>
      <c r="E30" s="1028"/>
      <c r="F30" s="967"/>
    </row>
    <row r="31" spans="2:6" ht="15.75">
      <c r="B31" s="99"/>
      <c r="C31" s="1028"/>
      <c r="D31" s="1028"/>
      <c r="E31" s="1028"/>
      <c r="F31" s="967"/>
    </row>
  </sheetData>
  <sheetProtection algorithmName="SHA-512" hashValue="Nppc+Gi1zacgpoa9/dRPrVJlBSFrrBcFQIx39HjbJOXGDxDErRZX4LgJxlhHJ8kvWkz+Eev+kzsGo5v8ZKFQPg==" saltValue="Heujay5x1nGq/eEjdV4q2g==" spinCount="100000" sheet="1" objects="1" scenarios="1"/>
  <mergeCells count="3">
    <mergeCell ref="B3:C5"/>
    <mergeCell ref="B7:F7"/>
    <mergeCell ref="H7:L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F72"/>
  <sheetViews>
    <sheetView zoomScale="94" zoomScaleNormal="94" workbookViewId="0" topLeftCell="A1">
      <selection activeCell="U14" sqref="U14"/>
    </sheetView>
  </sheetViews>
  <sheetFormatPr defaultColWidth="8.75390625" defaultRowHeight="15.75"/>
  <cols>
    <col min="1" max="1" width="12.25390625" style="65" customWidth="1"/>
    <col min="2" max="2" width="13.25390625" style="671" customWidth="1"/>
    <col min="3" max="3" width="8.75390625" style="668" customWidth="1"/>
    <col min="4" max="4" width="1.00390625" style="671" customWidth="1"/>
    <col min="5" max="5" width="13.75390625" style="671" bestFit="1" customWidth="1"/>
    <col min="6" max="16384" width="8.75390625" style="66" customWidth="1"/>
  </cols>
  <sheetData>
    <row r="2" spans="2:3" ht="15" thickBot="1">
      <c r="B2" s="667"/>
      <c r="C2" s="675"/>
    </row>
    <row r="3" spans="2:3" ht="15" thickBot="1">
      <c r="B3" s="668" t="s">
        <v>30</v>
      </c>
      <c r="C3" s="675"/>
    </row>
    <row r="4" ht="15.75">
      <c r="B4" s="669"/>
    </row>
    <row r="5" spans="2:5" ht="15" thickBot="1">
      <c r="B5" s="670"/>
      <c r="E5" s="678"/>
    </row>
    <row r="6" spans="1:5" ht="16.05" customHeight="1">
      <c r="A6" s="1704" t="s">
        <v>33</v>
      </c>
      <c r="B6" s="1701" t="s">
        <v>13</v>
      </c>
      <c r="C6" s="679">
        <f>1+Assumptions!C3</f>
        <v>2020</v>
      </c>
      <c r="D6" s="680"/>
      <c r="E6" s="681">
        <f>+Dashboard!H17</f>
        <v>64511.25</v>
      </c>
    </row>
    <row r="7" spans="1:5" ht="15">
      <c r="A7" s="1704"/>
      <c r="B7" s="1702"/>
      <c r="C7" s="682">
        <f>1+C6</f>
        <v>2021</v>
      </c>
      <c r="D7" s="680"/>
      <c r="E7" s="683">
        <f>+Dashboard!M17</f>
        <v>553007.75</v>
      </c>
    </row>
    <row r="8" spans="1:5" ht="15">
      <c r="A8" s="1704"/>
      <c r="B8" s="1702"/>
      <c r="C8" s="682">
        <f>1+C7</f>
        <v>2022</v>
      </c>
      <c r="D8" s="680"/>
      <c r="E8" s="683">
        <f>+Dashboard!R17</f>
        <v>1091187.625</v>
      </c>
    </row>
    <row r="9" spans="1:5" ht="15">
      <c r="A9" s="1704"/>
      <c r="B9" s="1702"/>
      <c r="C9" s="684">
        <f>1+C8</f>
        <v>2023</v>
      </c>
      <c r="D9" s="680"/>
      <c r="E9" s="685">
        <f>+Dashboard!W17</f>
        <v>1945579.25</v>
      </c>
    </row>
    <row r="10" spans="1:5" ht="15.75" thickBot="1">
      <c r="A10" s="1704"/>
      <c r="B10" s="1703"/>
      <c r="C10" s="686">
        <f>1+C9</f>
        <v>2024</v>
      </c>
      <c r="D10" s="687"/>
      <c r="E10" s="688">
        <f>+Dashboard!AB17</f>
        <v>3352489.1999999997</v>
      </c>
    </row>
    <row r="11" spans="1:3" ht="13.5" thickBot="1">
      <c r="A11" s="1704"/>
      <c r="C11" s="689"/>
    </row>
    <row r="12" spans="1:5" ht="15">
      <c r="A12" s="1704"/>
      <c r="B12" s="1701" t="s">
        <v>24</v>
      </c>
      <c r="C12" s="679">
        <f>+C6</f>
        <v>2020</v>
      </c>
      <c r="D12" s="680"/>
      <c r="E12" s="690"/>
    </row>
    <row r="13" spans="1:5" ht="15">
      <c r="A13" s="1704"/>
      <c r="B13" s="1702"/>
      <c r="C13" s="682">
        <f>+C7</f>
        <v>2021</v>
      </c>
      <c r="D13" s="680"/>
      <c r="E13" s="691">
        <f>+Dashboard!M81</f>
        <v>-0.09735118269138172</v>
      </c>
    </row>
    <row r="14" spans="1:5" ht="15">
      <c r="A14" s="1704"/>
      <c r="B14" s="1702"/>
      <c r="C14" s="682">
        <f>+C8</f>
        <v>2022</v>
      </c>
      <c r="D14" s="680"/>
      <c r="E14" s="691">
        <f>+Dashboard!R81</f>
        <v>0.03201755290182965</v>
      </c>
    </row>
    <row r="15" spans="1:5" ht="15">
      <c r="A15" s="1704"/>
      <c r="B15" s="1702"/>
      <c r="C15" s="684">
        <f>+C9</f>
        <v>2023</v>
      </c>
      <c r="D15" s="680"/>
      <c r="E15" s="692">
        <f>+Dashboard!W81</f>
        <v>0.19961686443196247</v>
      </c>
    </row>
    <row r="16" spans="1:5" ht="15.75" thickBot="1">
      <c r="A16" s="1704"/>
      <c r="B16" s="1703"/>
      <c r="C16" s="686">
        <f aca="true" t="shared" si="0" ref="C16">+C10</f>
        <v>2024</v>
      </c>
      <c r="D16" s="687"/>
      <c r="E16" s="693">
        <f>+Dashboard!AB81</f>
        <v>0.29738931080866177</v>
      </c>
    </row>
    <row r="17" spans="1:5" ht="12.75">
      <c r="A17" s="68"/>
      <c r="B17" s="672"/>
      <c r="C17" s="694"/>
      <c r="E17" s="695"/>
    </row>
    <row r="18" spans="1:5" ht="15" thickBot="1">
      <c r="A18" s="68"/>
      <c r="B18" s="672"/>
      <c r="C18" s="696"/>
      <c r="D18" s="670"/>
      <c r="E18" s="697"/>
    </row>
    <row r="19" spans="1:5" ht="16.05" customHeight="1">
      <c r="A19" s="1704" t="s">
        <v>34</v>
      </c>
      <c r="B19" s="1701" t="s">
        <v>315</v>
      </c>
      <c r="C19" s="679">
        <f>+C12</f>
        <v>2020</v>
      </c>
      <c r="D19" s="680"/>
      <c r="E19" s="681">
        <f>+E6/(-Dashboard!H59)</f>
        <v>4.962403846153846</v>
      </c>
    </row>
    <row r="20" spans="1:5" ht="15">
      <c r="A20" s="1704"/>
      <c r="B20" s="1702"/>
      <c r="C20" s="682">
        <f>+C13</f>
        <v>2021</v>
      </c>
      <c r="D20" s="680"/>
      <c r="E20" s="683">
        <f>+E7/(-Dashboard!M59)</f>
        <v>10.72978877753552</v>
      </c>
    </row>
    <row r="21" spans="1:5" ht="15">
      <c r="A21" s="1704"/>
      <c r="B21" s="1702"/>
      <c r="C21" s="682">
        <f>+C14</f>
        <v>2022</v>
      </c>
      <c r="D21" s="680"/>
      <c r="E21" s="685">
        <f>+E8/(-Dashboard!R59)</f>
        <v>12.113678811429642</v>
      </c>
    </row>
    <row r="22" spans="1:5" ht="15">
      <c r="A22" s="1704"/>
      <c r="B22" s="1702"/>
      <c r="C22" s="684">
        <f>+C15</f>
        <v>2023</v>
      </c>
      <c r="D22" s="680"/>
      <c r="E22" s="683">
        <f>+E9/(-Dashboard!W59)</f>
        <v>19.248112495108334</v>
      </c>
    </row>
    <row r="23" spans="1:5" ht="15.75" thickBot="1">
      <c r="A23" s="1704"/>
      <c r="B23" s="1703"/>
      <c r="C23" s="686">
        <f aca="true" t="shared" si="1" ref="C23">+C16</f>
        <v>2024</v>
      </c>
      <c r="D23" s="687"/>
      <c r="E23" s="688">
        <f>+E10/(-Dashboard!AB59)</f>
        <v>32.84211656045501</v>
      </c>
    </row>
    <row r="24" spans="1:5" ht="13.5" thickBot="1">
      <c r="A24" s="1704"/>
      <c r="B24" s="672"/>
      <c r="C24" s="698"/>
      <c r="E24" s="699"/>
    </row>
    <row r="25" spans="1:5" ht="15">
      <c r="A25" s="1704"/>
      <c r="B25" s="1701" t="s">
        <v>158</v>
      </c>
      <c r="C25" s="679">
        <f>+C19</f>
        <v>2020</v>
      </c>
      <c r="D25" s="680"/>
      <c r="E25" s="700"/>
    </row>
    <row r="26" spans="1:5" ht="15">
      <c r="A26" s="1704"/>
      <c r="B26" s="1702"/>
      <c r="C26" s="682">
        <f>+C20</f>
        <v>2021</v>
      </c>
      <c r="D26" s="680"/>
      <c r="E26" s="701">
        <f>(Dashboard!M31+Dashboard!M24)/'Financial Graphs'!E7</f>
        <v>1.0973511826913818</v>
      </c>
    </row>
    <row r="27" spans="1:5" ht="15">
      <c r="A27" s="1704"/>
      <c r="B27" s="1702"/>
      <c r="C27" s="682">
        <f>+C21</f>
        <v>2022</v>
      </c>
      <c r="D27" s="680"/>
      <c r="E27" s="702">
        <f>+(Dashboard!R24+Dashboard!R31)/'Financial Graphs'!E8</f>
        <v>0.9679824470981703</v>
      </c>
    </row>
    <row r="28" spans="1:5" ht="15">
      <c r="A28" s="1704"/>
      <c r="B28" s="1702"/>
      <c r="C28" s="682">
        <f>+C22</f>
        <v>2023</v>
      </c>
      <c r="D28" s="680"/>
      <c r="E28" s="701">
        <f>+(Dashboard!W24+Dashboard!W31)/'Financial Graphs'!E9</f>
        <v>0.8003831355680376</v>
      </c>
    </row>
    <row r="29" spans="1:5" ht="15.75" thickBot="1">
      <c r="A29" s="1704"/>
      <c r="B29" s="1703"/>
      <c r="C29" s="686">
        <f aca="true" t="shared" si="2" ref="C29">+C23</f>
        <v>2024</v>
      </c>
      <c r="D29" s="687"/>
      <c r="E29" s="703">
        <f>(Dashboard!AB24+Dashboard!AB31)/'Financial Graphs'!E10</f>
        <v>0.7026106891913384</v>
      </c>
    </row>
    <row r="30" spans="3:5" ht="14.25">
      <c r="C30" s="689"/>
      <c r="E30" s="695"/>
    </row>
    <row r="31" spans="3:5" ht="15" thickBot="1">
      <c r="C31" s="675"/>
      <c r="D31" s="670"/>
      <c r="E31" s="697"/>
    </row>
    <row r="32" spans="1:5" ht="16.05" customHeight="1">
      <c r="A32" s="1704" t="s">
        <v>35</v>
      </c>
      <c r="B32" s="1701" t="s">
        <v>31</v>
      </c>
      <c r="C32" s="679">
        <f>+C25</f>
        <v>2020</v>
      </c>
      <c r="D32" s="680"/>
      <c r="E32" s="704">
        <f>+AVERAGE((Assumptions!D152:D152))</f>
        <v>5</v>
      </c>
    </row>
    <row r="33" spans="1:5" ht="15">
      <c r="A33" s="1704"/>
      <c r="B33" s="1702"/>
      <c r="C33" s="682">
        <f>+C26</f>
        <v>2021</v>
      </c>
      <c r="D33" s="680"/>
      <c r="E33" s="705">
        <f>+AVERAGE(Assumptions!E152:E152)</f>
        <v>8</v>
      </c>
    </row>
    <row r="34" spans="1:5" ht="15">
      <c r="A34" s="1704"/>
      <c r="B34" s="1702"/>
      <c r="C34" s="684">
        <f>+C27</f>
        <v>2022</v>
      </c>
      <c r="D34" s="680"/>
      <c r="E34" s="706">
        <f>+AVERAGE(Assumptions!F152:F152)</f>
        <v>12</v>
      </c>
    </row>
    <row r="35" spans="1:5" ht="15">
      <c r="A35" s="1704"/>
      <c r="B35" s="1702"/>
      <c r="C35" s="684">
        <f>+C28</f>
        <v>2023</v>
      </c>
      <c r="D35" s="680"/>
      <c r="E35" s="705">
        <f>+AVERAGE(Assumptions!G152:G152)</f>
        <v>12</v>
      </c>
    </row>
    <row r="36" spans="1:5" ht="15.75" thickBot="1">
      <c r="A36" s="1704"/>
      <c r="B36" s="1703"/>
      <c r="C36" s="686">
        <f aca="true" t="shared" si="3" ref="C36">+C29</f>
        <v>2024</v>
      </c>
      <c r="D36" s="687"/>
      <c r="E36" s="707">
        <f>+AVERAGE(Assumptions!H152:H152)</f>
        <v>14</v>
      </c>
    </row>
    <row r="37" spans="1:5" ht="13.5" thickBot="1">
      <c r="A37" s="1704"/>
      <c r="C37" s="708"/>
      <c r="E37" s="709"/>
    </row>
    <row r="38" spans="1:5" ht="15">
      <c r="A38" s="1704"/>
      <c r="B38" s="1701" t="s">
        <v>157</v>
      </c>
      <c r="C38" s="679">
        <f>+C32</f>
        <v>2020</v>
      </c>
      <c r="D38" s="680"/>
      <c r="E38" s="710">
        <f>+E6/E32</f>
        <v>12902.25</v>
      </c>
    </row>
    <row r="39" spans="1:5" ht="15">
      <c r="A39" s="1704"/>
      <c r="B39" s="1702"/>
      <c r="C39" s="682">
        <f>+C33</f>
        <v>2021</v>
      </c>
      <c r="D39" s="680"/>
      <c r="E39" s="711">
        <f>+E7/E33</f>
        <v>69125.96875</v>
      </c>
    </row>
    <row r="40" spans="1:5" ht="15">
      <c r="A40" s="1704"/>
      <c r="B40" s="1702"/>
      <c r="C40" s="684">
        <f>+C34</f>
        <v>2022</v>
      </c>
      <c r="D40" s="680"/>
      <c r="E40" s="712">
        <f>+E8/E34</f>
        <v>90932.30208333333</v>
      </c>
    </row>
    <row r="41" spans="1:5" ht="15">
      <c r="A41" s="1704"/>
      <c r="B41" s="1702"/>
      <c r="C41" s="682">
        <f>+C35</f>
        <v>2023</v>
      </c>
      <c r="D41" s="680"/>
      <c r="E41" s="711">
        <f>+E9/E35</f>
        <v>162131.60416666666</v>
      </c>
    </row>
    <row r="42" spans="1:5" ht="15.75" thickBot="1">
      <c r="A42" s="1704"/>
      <c r="B42" s="1703"/>
      <c r="C42" s="686">
        <f>+C36</f>
        <v>2024</v>
      </c>
      <c r="D42" s="687"/>
      <c r="E42" s="713">
        <f>+E10/E36</f>
        <v>239463.51428571428</v>
      </c>
    </row>
    <row r="43" spans="1:5" ht="14.25" thickBot="1">
      <c r="A43" s="1704"/>
      <c r="B43" s="673"/>
      <c r="C43" s="714"/>
      <c r="E43" s="715"/>
    </row>
    <row r="44" spans="1:5" ht="15">
      <c r="A44" s="1704"/>
      <c r="B44" s="1701" t="s">
        <v>32</v>
      </c>
      <c r="C44" s="679">
        <f>+C38</f>
        <v>2020</v>
      </c>
      <c r="D44" s="680"/>
      <c r="E44" s="710">
        <f>+Dashboard!H42/E32</f>
        <v>-16681.300194238684</v>
      </c>
    </row>
    <row r="45" spans="1:5" ht="15">
      <c r="A45" s="1704"/>
      <c r="B45" s="1702"/>
      <c r="C45" s="682">
        <f>+C39</f>
        <v>2021</v>
      </c>
      <c r="D45" s="680"/>
      <c r="E45" s="711">
        <f>+Dashboard!M42/E33</f>
        <v>-10240.300290895055</v>
      </c>
    </row>
    <row r="46" spans="1:5" ht="15">
      <c r="A46" s="1704"/>
      <c r="B46" s="1702"/>
      <c r="C46" s="684">
        <f>+C40</f>
        <v>2022</v>
      </c>
      <c r="D46" s="680"/>
      <c r="E46" s="712">
        <f>+Dashboard!R42/E34</f>
        <v>-719.8672424240439</v>
      </c>
    </row>
    <row r="47" spans="1:5" ht="15">
      <c r="A47" s="1704"/>
      <c r="B47" s="1702"/>
      <c r="C47" s="682">
        <f>+C41</f>
        <v>2023</v>
      </c>
      <c r="D47" s="680"/>
      <c r="E47" s="711">
        <f>+Dashboard!W42/E36</f>
        <v>23174.766933737817</v>
      </c>
    </row>
    <row r="48" spans="1:5" ht="15.75" thickBot="1">
      <c r="A48" s="1704"/>
      <c r="B48" s="1703"/>
      <c r="C48" s="686">
        <f>+C42</f>
        <v>2024</v>
      </c>
      <c r="D48" s="687"/>
      <c r="E48" s="713">
        <f>+Dashboard!AB42/E36</f>
        <v>65201.173287355465</v>
      </c>
    </row>
    <row r="49" spans="1:5" ht="15.75">
      <c r="A49" s="68"/>
      <c r="E49" s="669"/>
    </row>
    <row r="50" spans="3:5" ht="15.75">
      <c r="C50" s="675"/>
      <c r="D50" s="670"/>
      <c r="E50" s="670"/>
    </row>
    <row r="51" spans="1:5" ht="16.95" customHeight="1">
      <c r="A51" s="66"/>
      <c r="B51" s="674"/>
      <c r="C51" s="674"/>
      <c r="D51" s="674"/>
      <c r="E51" s="674"/>
    </row>
    <row r="52" spans="1:5" ht="16.05" customHeight="1">
      <c r="A52" s="66"/>
      <c r="B52" s="674"/>
      <c r="C52" s="674"/>
      <c r="D52" s="674"/>
      <c r="E52" s="674"/>
    </row>
    <row r="53" spans="1:5" ht="15.75">
      <c r="A53" s="66"/>
      <c r="B53" s="674"/>
      <c r="C53" s="674"/>
      <c r="D53" s="674"/>
      <c r="E53" s="674"/>
    </row>
    <row r="54" spans="1:5" ht="15.75">
      <c r="A54" s="66"/>
      <c r="B54" s="674"/>
      <c r="C54" s="674"/>
      <c r="D54" s="674"/>
      <c r="E54" s="674"/>
    </row>
    <row r="55" spans="1:5" ht="15.75">
      <c r="A55" s="66"/>
      <c r="B55" s="674"/>
      <c r="C55" s="674"/>
      <c r="D55" s="674"/>
      <c r="E55" s="674"/>
    </row>
    <row r="56" spans="1:5" ht="15.75">
      <c r="A56" s="66"/>
      <c r="B56" s="674"/>
      <c r="C56" s="674"/>
      <c r="D56" s="674"/>
      <c r="E56" s="674"/>
    </row>
    <row r="57" spans="1:5" ht="15.75">
      <c r="A57" s="66"/>
      <c r="B57" s="674"/>
      <c r="C57" s="674"/>
      <c r="D57" s="674"/>
      <c r="E57" s="674"/>
    </row>
    <row r="58" spans="1:5" ht="15.75">
      <c r="A58" s="69"/>
      <c r="B58" s="674"/>
      <c r="C58" s="674"/>
      <c r="D58" s="674"/>
      <c r="E58" s="674"/>
    </row>
    <row r="59" spans="1:6" ht="15.75">
      <c r="A59" s="67"/>
      <c r="B59" s="675"/>
      <c r="C59" s="675"/>
      <c r="D59" s="670"/>
      <c r="E59" s="670"/>
      <c r="F59" s="69"/>
    </row>
    <row r="60" spans="1:6" ht="15.75">
      <c r="A60" s="67"/>
      <c r="B60" s="676"/>
      <c r="C60" s="675"/>
      <c r="D60" s="670"/>
      <c r="E60" s="676"/>
      <c r="F60" s="69"/>
    </row>
    <row r="61" spans="1:6" ht="15.75">
      <c r="A61" s="67"/>
      <c r="B61" s="677"/>
      <c r="C61" s="716"/>
      <c r="D61" s="670"/>
      <c r="E61" s="677"/>
      <c r="F61" s="69"/>
    </row>
    <row r="62" spans="1:6" ht="15.75">
      <c r="A62" s="67"/>
      <c r="B62" s="677"/>
      <c r="C62" s="716"/>
      <c r="D62" s="670"/>
      <c r="E62" s="677"/>
      <c r="F62" s="69"/>
    </row>
    <row r="63" spans="2:6" ht="15.75">
      <c r="B63" s="677"/>
      <c r="C63" s="716"/>
      <c r="D63" s="670"/>
      <c r="E63" s="677"/>
      <c r="F63" s="69"/>
    </row>
    <row r="64" spans="2:6" ht="15.75">
      <c r="B64" s="677"/>
      <c r="C64" s="716"/>
      <c r="D64" s="670"/>
      <c r="E64" s="677"/>
      <c r="F64" s="69"/>
    </row>
    <row r="65" spans="2:6" ht="15.75">
      <c r="B65" s="670"/>
      <c r="C65" s="675"/>
      <c r="D65" s="670"/>
      <c r="E65" s="670"/>
      <c r="F65" s="69"/>
    </row>
    <row r="66" spans="2:6" ht="15.75">
      <c r="B66" s="675"/>
      <c r="C66" s="675"/>
      <c r="D66" s="670"/>
      <c r="E66" s="670"/>
      <c r="F66" s="69"/>
    </row>
    <row r="67" spans="2:6" ht="15.75">
      <c r="B67" s="676"/>
      <c r="C67" s="675"/>
      <c r="D67" s="670"/>
      <c r="E67" s="676"/>
      <c r="F67" s="69"/>
    </row>
    <row r="68" spans="2:6" ht="15.75">
      <c r="B68" s="677"/>
      <c r="C68" s="716"/>
      <c r="D68" s="670"/>
      <c r="E68" s="677"/>
      <c r="F68" s="69"/>
    </row>
    <row r="69" spans="2:6" ht="15.75">
      <c r="B69" s="677"/>
      <c r="C69" s="716"/>
      <c r="D69" s="670"/>
      <c r="E69" s="677"/>
      <c r="F69" s="69"/>
    </row>
    <row r="70" spans="2:6" ht="15.75">
      <c r="B70" s="677"/>
      <c r="C70" s="716"/>
      <c r="D70" s="670"/>
      <c r="E70" s="677"/>
      <c r="F70" s="69"/>
    </row>
    <row r="71" spans="2:6" ht="15.75">
      <c r="B71" s="677"/>
      <c r="C71" s="716"/>
      <c r="D71" s="670"/>
      <c r="E71" s="677"/>
      <c r="F71" s="69"/>
    </row>
    <row r="72" spans="2:6" ht="15.75">
      <c r="B72" s="670"/>
      <c r="C72" s="675"/>
      <c r="D72" s="670"/>
      <c r="E72" s="670"/>
      <c r="F72" s="69"/>
    </row>
  </sheetData>
  <sheetProtection algorithmName="SHA-512" hashValue="d32OH+eeOTMiPEKwvLpFfSLb1wYRAtoAXtI2mtumTv0wOUDMOh2GIAhKA0tZpmjZJuiSuFowYQT8zRtWXyqUoA==" saltValue="Qq4XfJAfB6qsK1TPXmnIEw==" spinCount="100000" sheet="1" objects="1" scenarios="1"/>
  <mergeCells count="10">
    <mergeCell ref="B6:B10"/>
    <mergeCell ref="B12:B16"/>
    <mergeCell ref="A6:A16"/>
    <mergeCell ref="A19:A29"/>
    <mergeCell ref="A32:A48"/>
    <mergeCell ref="B19:B23"/>
    <mergeCell ref="B25:B29"/>
    <mergeCell ref="B32:B36"/>
    <mergeCell ref="B38:B42"/>
    <mergeCell ref="B44:B48"/>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G111"/>
  <sheetViews>
    <sheetView zoomScale="54" zoomScaleNormal="54" zoomScalePageLayoutView="74" workbookViewId="0" topLeftCell="A1">
      <pane xSplit="2" topLeftCell="C1" activePane="topRight" state="frozen"/>
      <selection pane="topRight" activeCell="C74" sqref="C74"/>
    </sheetView>
  </sheetViews>
  <sheetFormatPr defaultColWidth="10.75390625" defaultRowHeight="15.75" outlineLevelRow="1" outlineLevelCol="1"/>
  <cols>
    <col min="1" max="1" width="3.00390625" style="8" customWidth="1"/>
    <col min="2" max="2" width="38.00390625" style="8" customWidth="1"/>
    <col min="3" max="3" width="16.50390625" style="8" customWidth="1"/>
    <col min="4" max="4" width="19.25390625" style="18" customWidth="1" outlineLevel="1"/>
    <col min="5" max="5" width="19.75390625" style="8" customWidth="1" outlineLevel="1"/>
    <col min="6" max="6" width="18.75390625" style="8" customWidth="1" outlineLevel="1"/>
    <col min="7" max="7" width="16.50390625" style="8" customWidth="1" outlineLevel="1"/>
    <col min="8" max="8" width="16.50390625" style="8" customWidth="1"/>
    <col min="9" max="9" width="19.25390625" style="18" customWidth="1" outlineLevel="1"/>
    <col min="10" max="10" width="19.75390625" style="8" customWidth="1" outlineLevel="1"/>
    <col min="11" max="11" width="18.75390625" style="8" customWidth="1" outlineLevel="1"/>
    <col min="12" max="12" width="16.50390625" style="8" customWidth="1" outlineLevel="1"/>
    <col min="13" max="13" width="16.50390625" style="8" customWidth="1"/>
    <col min="14" max="14" width="19.25390625" style="18" customWidth="1" outlineLevel="1"/>
    <col min="15" max="15" width="19.75390625" style="8" customWidth="1" outlineLevel="1"/>
    <col min="16" max="16" width="18.75390625" style="8" customWidth="1" outlineLevel="1"/>
    <col min="17" max="17" width="16.50390625" style="8" customWidth="1" outlineLevel="1"/>
    <col min="18" max="18" width="16.50390625" style="8" customWidth="1"/>
    <col min="19" max="19" width="19.25390625" style="18" customWidth="1" outlineLevel="1"/>
    <col min="20" max="20" width="19.75390625" style="8" customWidth="1" outlineLevel="1"/>
    <col min="21" max="21" width="18.75390625" style="8" customWidth="1" outlineLevel="1"/>
    <col min="22" max="22" width="16.50390625" style="8" customWidth="1" outlineLevel="1"/>
    <col min="23" max="23" width="16.50390625" style="8" customWidth="1"/>
    <col min="24" max="27" width="16.50390625" style="8" customWidth="1" outlineLevel="1"/>
    <col min="28" max="28" width="16.50390625" style="8" customWidth="1"/>
    <col min="29" max="29" width="15.50390625" style="8" bestFit="1" customWidth="1"/>
    <col min="30" max="30" width="14.50390625" style="8" bestFit="1" customWidth="1"/>
    <col min="31" max="31" width="15.25390625" style="8" bestFit="1" customWidth="1"/>
    <col min="32" max="16384" width="10.75390625" style="8" customWidth="1"/>
  </cols>
  <sheetData>
    <row r="4" spans="1:3" ht="15.75">
      <c r="A4" s="11">
        <v>1</v>
      </c>
      <c r="B4" s="12" t="s">
        <v>318</v>
      </c>
      <c r="C4" s="12"/>
    </row>
    <row r="5" spans="1:26" s="5" customFormat="1" ht="15.75">
      <c r="A5" s="11"/>
      <c r="B5" s="13"/>
      <c r="C5" s="13"/>
      <c r="D5" s="1499">
        <v>2020</v>
      </c>
      <c r="E5" s="1499"/>
      <c r="F5" s="56"/>
      <c r="G5" s="443"/>
      <c r="I5" s="1499">
        <f>1+D5</f>
        <v>2021</v>
      </c>
      <c r="J5" s="1499"/>
      <c r="K5" s="56"/>
      <c r="N5" s="1499">
        <f>1+I5</f>
        <v>2022</v>
      </c>
      <c r="O5" s="1499"/>
      <c r="P5" s="56"/>
      <c r="S5" s="1499">
        <f>1+N5</f>
        <v>2023</v>
      </c>
      <c r="T5" s="1499"/>
      <c r="U5" s="56"/>
      <c r="X5" s="1499">
        <f>1+S5</f>
        <v>2024</v>
      </c>
      <c r="Y5" s="1499"/>
      <c r="Z5" s="56"/>
    </row>
    <row r="6" spans="2:24" ht="15.75">
      <c r="B6" s="10"/>
      <c r="C6" s="10"/>
      <c r="X6" s="18"/>
    </row>
    <row r="7" spans="2:25" ht="15.75">
      <c r="B7" s="10"/>
      <c r="C7" s="10"/>
      <c r="D7" s="127" t="s">
        <v>320</v>
      </c>
      <c r="E7" s="14">
        <f>+H24/(H$31+H$24)</f>
        <v>0.3156030129451052</v>
      </c>
      <c r="I7" s="127" t="s">
        <v>320</v>
      </c>
      <c r="J7" s="14">
        <f>+M24/(M$31+M$24)</f>
        <v>0.3315715491182356</v>
      </c>
      <c r="N7" s="127" t="s">
        <v>320</v>
      </c>
      <c r="O7" s="14">
        <f>+R24/(R$31+R$24)</f>
        <v>0.4070262120416707</v>
      </c>
      <c r="S7" s="127" t="s">
        <v>320</v>
      </c>
      <c r="T7" s="14">
        <f>+W24/(W$31+W$24)</f>
        <v>0.5096139316681813</v>
      </c>
      <c r="X7" s="127" t="s">
        <v>320</v>
      </c>
      <c r="Y7" s="14">
        <f>+AB24/(AB$31+AB$24)</f>
        <v>0.5605727927447791</v>
      </c>
    </row>
    <row r="8" spans="2:25" ht="15.75">
      <c r="B8" s="10"/>
      <c r="C8" s="475"/>
      <c r="D8" s="127" t="s">
        <v>321</v>
      </c>
      <c r="E8" s="14">
        <f>+H32/(H$31+H$24)</f>
        <v>0.14248038367714763</v>
      </c>
      <c r="I8" s="127" t="s">
        <v>321</v>
      </c>
      <c r="J8" s="14">
        <f>+M32/(M$31+M$24)</f>
        <v>0.2087028311013626</v>
      </c>
      <c r="N8" s="127" t="s">
        <v>321</v>
      </c>
      <c r="O8" s="14">
        <f>+R32/(R$31+R$24)</f>
        <v>0.1885253603466411</v>
      </c>
      <c r="S8" s="127" t="s">
        <v>321</v>
      </c>
      <c r="T8" s="14">
        <f>+W32/(W$31+W$24)</f>
        <v>0.19754576003446836</v>
      </c>
      <c r="X8" s="127" t="s">
        <v>321</v>
      </c>
      <c r="Y8" s="14">
        <f>+AB32/(AB$31+AB$24)</f>
        <v>0.20731355930889148</v>
      </c>
    </row>
    <row r="9" spans="2:28" ht="15.75">
      <c r="B9" s="10"/>
      <c r="C9" s="10"/>
      <c r="D9" s="127" t="s">
        <v>322</v>
      </c>
      <c r="E9" s="14">
        <f>+H33/(H$31+H$24)</f>
        <v>0.023230497338665373</v>
      </c>
      <c r="H9" s="99"/>
      <c r="I9" s="127" t="s">
        <v>322</v>
      </c>
      <c r="J9" s="14">
        <f>+M33/(M$31+M$24)</f>
        <v>0.0065914830193876854</v>
      </c>
      <c r="M9" s="99"/>
      <c r="N9" s="127" t="s">
        <v>322</v>
      </c>
      <c r="O9" s="14">
        <f>+R33/(R$31+R$24)</f>
        <v>0.004733725715528577</v>
      </c>
      <c r="R9" s="99"/>
      <c r="S9" s="127" t="s">
        <v>322</v>
      </c>
      <c r="T9" s="14">
        <f>+W33/(W$31+W$24)</f>
        <v>0.003853047786902055</v>
      </c>
      <c r="W9" s="99"/>
      <c r="X9" s="127" t="s">
        <v>322</v>
      </c>
      <c r="Y9" s="14">
        <f>+AB33/(AB$31+AB$24)</f>
        <v>0.002971774829032737</v>
      </c>
      <c r="AB9" s="99"/>
    </row>
    <row r="10" spans="2:28" ht="15.75">
      <c r="B10" s="10"/>
      <c r="C10" s="10"/>
      <c r="D10" s="127" t="s">
        <v>323</v>
      </c>
      <c r="E10" s="14">
        <f>+H34/(H$31+H$24)</f>
        <v>0.08208109059661765</v>
      </c>
      <c r="H10" s="99"/>
      <c r="I10" s="127" t="s">
        <v>323</v>
      </c>
      <c r="J10" s="14">
        <f>+M34/(M$31+M$24)</f>
        <v>0.1634028640506207</v>
      </c>
      <c r="M10" s="99"/>
      <c r="N10" s="127" t="s">
        <v>323</v>
      </c>
      <c r="O10" s="14">
        <f>+R34/(R$31+R$24)</f>
        <v>0.11112515791717643</v>
      </c>
      <c r="R10" s="99"/>
      <c r="S10" s="127" t="s">
        <v>323</v>
      </c>
      <c r="T10" s="14">
        <f>+W34/(W$31+W$24)</f>
        <v>0.08802518852044958</v>
      </c>
      <c r="W10" s="99"/>
      <c r="X10" s="127" t="s">
        <v>323</v>
      </c>
      <c r="Y10" s="14">
        <f>+AB34/(AB$31+AB$24)</f>
        <v>0.06730346572857912</v>
      </c>
      <c r="AB10" s="99"/>
    </row>
    <row r="11" spans="2:28" ht="15.75">
      <c r="B11" s="10"/>
      <c r="C11" s="10"/>
      <c r="D11" s="127" t="s">
        <v>319</v>
      </c>
      <c r="E11" s="14">
        <f>+H35/(H$31+H$24)</f>
        <v>0.4366050154424642</v>
      </c>
      <c r="H11" s="50"/>
      <c r="I11" s="127" t="s">
        <v>319</v>
      </c>
      <c r="J11" s="14">
        <f>+M35/(M$31+M$24)</f>
        <v>0.28973127271039345</v>
      </c>
      <c r="M11" s="50"/>
      <c r="N11" s="127" t="s">
        <v>319</v>
      </c>
      <c r="O11" s="14">
        <f>+R35/(R$31+R$24)</f>
        <v>0.2885895439789832</v>
      </c>
      <c r="R11" s="50"/>
      <c r="S11" s="127" t="s">
        <v>319</v>
      </c>
      <c r="T11" s="14">
        <f>+W35/(W$31+W$24)</f>
        <v>0.20096207198999871</v>
      </c>
      <c r="W11" s="50"/>
      <c r="X11" s="127" t="s">
        <v>319</v>
      </c>
      <c r="Y11" s="14">
        <f>+AB35/(AB$31+AB$24)</f>
        <v>0.16183840738871746</v>
      </c>
      <c r="AB11" s="50"/>
    </row>
    <row r="12" spans="2:28" ht="15.75">
      <c r="B12" s="10"/>
      <c r="C12" s="10"/>
      <c r="D12" s="128"/>
      <c r="E12" s="14"/>
      <c r="F12" s="15"/>
      <c r="H12" s="99"/>
      <c r="I12" s="128"/>
      <c r="J12" s="15"/>
      <c r="M12" s="99"/>
      <c r="N12" s="128"/>
      <c r="O12" s="15"/>
      <c r="P12" s="15"/>
      <c r="R12" s="99"/>
      <c r="S12" s="128"/>
      <c r="T12" s="15"/>
      <c r="U12" s="15"/>
      <c r="W12" s="99"/>
      <c r="X12" s="128"/>
      <c r="Y12" s="15"/>
      <c r="Z12" s="15"/>
      <c r="AB12" s="99"/>
    </row>
    <row r="13" spans="1:28" ht="15.75">
      <c r="A13" s="5">
        <v>2</v>
      </c>
      <c r="B13" s="9" t="s">
        <v>202</v>
      </c>
      <c r="C13" s="474"/>
      <c r="H13" s="395"/>
      <c r="K13" s="15"/>
      <c r="M13" s="99"/>
      <c r="R13" s="99"/>
      <c r="W13" s="99"/>
      <c r="X13" s="18"/>
      <c r="AB13" s="99"/>
    </row>
    <row r="14" spans="8:28" ht="15.75">
      <c r="H14" s="395"/>
      <c r="M14" s="395"/>
      <c r="R14" s="395"/>
      <c r="W14" s="395"/>
      <c r="X14" s="395"/>
      <c r="Y14" s="395"/>
      <c r="Z14" s="395"/>
      <c r="AA14" s="395"/>
      <c r="AB14" s="395"/>
    </row>
    <row r="15" spans="2:28" ht="15.75">
      <c r="B15" s="16"/>
      <c r="C15" s="1497">
        <f>+Assumptions!C3</f>
        <v>2019</v>
      </c>
      <c r="D15" s="1494">
        <f>+Assumptions!D3</f>
        <v>2020</v>
      </c>
      <c r="E15" s="1495"/>
      <c r="F15" s="1495"/>
      <c r="G15" s="1496"/>
      <c r="H15" s="1497">
        <f>+D15</f>
        <v>2020</v>
      </c>
      <c r="I15" s="1494">
        <f>1+D15</f>
        <v>2021</v>
      </c>
      <c r="J15" s="1495"/>
      <c r="K15" s="1495"/>
      <c r="L15" s="1496"/>
      <c r="M15" s="1497">
        <f>+I15</f>
        <v>2021</v>
      </c>
      <c r="N15" s="1494">
        <f>1+I15</f>
        <v>2022</v>
      </c>
      <c r="O15" s="1495"/>
      <c r="P15" s="1495"/>
      <c r="Q15" s="1496"/>
      <c r="R15" s="1497">
        <f>+N15</f>
        <v>2022</v>
      </c>
      <c r="S15" s="1494">
        <f>1+N15</f>
        <v>2023</v>
      </c>
      <c r="T15" s="1495"/>
      <c r="U15" s="1495"/>
      <c r="V15" s="1496"/>
      <c r="W15" s="1497">
        <f>+S15</f>
        <v>2023</v>
      </c>
      <c r="X15" s="1494">
        <f>1+S15</f>
        <v>2024</v>
      </c>
      <c r="Y15" s="1495"/>
      <c r="Z15" s="1495"/>
      <c r="AA15" s="1496"/>
      <c r="AB15" s="1497">
        <f>1+W15</f>
        <v>2024</v>
      </c>
    </row>
    <row r="16" spans="2:33" s="18" customFormat="1" ht="15.75">
      <c r="B16" s="17"/>
      <c r="C16" s="1498"/>
      <c r="D16" s="311" t="s">
        <v>4</v>
      </c>
      <c r="E16" s="132" t="s">
        <v>5</v>
      </c>
      <c r="F16" s="132" t="s">
        <v>6</v>
      </c>
      <c r="G16" s="310" t="s">
        <v>7</v>
      </c>
      <c r="H16" s="1498"/>
      <c r="I16" s="311" t="s">
        <v>4</v>
      </c>
      <c r="J16" s="132" t="s">
        <v>5</v>
      </c>
      <c r="K16" s="132" t="s">
        <v>6</v>
      </c>
      <c r="L16" s="310" t="s">
        <v>7</v>
      </c>
      <c r="M16" s="1498"/>
      <c r="N16" s="311" t="s">
        <v>4</v>
      </c>
      <c r="O16" s="132" t="s">
        <v>5</v>
      </c>
      <c r="P16" s="132" t="s">
        <v>6</v>
      </c>
      <c r="Q16" s="310" t="s">
        <v>7</v>
      </c>
      <c r="R16" s="1498"/>
      <c r="S16" s="311" t="s">
        <v>4</v>
      </c>
      <c r="T16" s="132" t="s">
        <v>5</v>
      </c>
      <c r="U16" s="132" t="s">
        <v>6</v>
      </c>
      <c r="V16" s="310" t="s">
        <v>7</v>
      </c>
      <c r="W16" s="1498"/>
      <c r="X16" s="311" t="s">
        <v>4</v>
      </c>
      <c r="Y16" s="132" t="s">
        <v>5</v>
      </c>
      <c r="Z16" s="132" t="s">
        <v>6</v>
      </c>
      <c r="AA16" s="310" t="s">
        <v>7</v>
      </c>
      <c r="AB16" s="1498"/>
      <c r="AF16" s="495"/>
      <c r="AG16" s="495"/>
    </row>
    <row r="17" spans="2:33" ht="15.75">
      <c r="B17" s="19" t="s">
        <v>13</v>
      </c>
      <c r="C17" s="308">
        <f>+SUM(C18:C20)</f>
        <v>24903</v>
      </c>
      <c r="D17" s="20">
        <f>+SUM('Income Statement'!E5:G5)</f>
        <v>0</v>
      </c>
      <c r="E17" s="21">
        <f>SUM('Income Statement'!H5:J5)</f>
        <v>8370</v>
      </c>
      <c r="F17" s="21">
        <f>+SUM('Income Statement'!K5:M5)</f>
        <v>2780</v>
      </c>
      <c r="G17" s="22">
        <f>+SUM('Income Statement'!N5:P5)</f>
        <v>53361.25</v>
      </c>
      <c r="H17" s="308">
        <f>SUM(D17:G17)</f>
        <v>64511.25</v>
      </c>
      <c r="I17" s="20">
        <f>+SUM('Income Statement'!Q5:S5)</f>
        <v>114102</v>
      </c>
      <c r="J17" s="21">
        <f>SUM('Income Statement'!T5:V5)</f>
        <v>127902</v>
      </c>
      <c r="K17" s="21">
        <f>+SUM('Income Statement'!W5:Y5)</f>
        <v>150195.25</v>
      </c>
      <c r="L17" s="22">
        <f>+SUM('Income Statement'!Z5:AB5)</f>
        <v>160808.5</v>
      </c>
      <c r="M17" s="308">
        <f>SUM(I17:L17)</f>
        <v>553007.75</v>
      </c>
      <c r="N17" s="20">
        <f>+SUM('Income Statement'!AC5:AE5)</f>
        <v>250278.75</v>
      </c>
      <c r="O17" s="21">
        <f>SUM('Income Statement'!AF5:AH5)</f>
        <v>263608.625</v>
      </c>
      <c r="P17" s="21">
        <f>+SUM('Income Statement'!AI5:AK5)</f>
        <v>279498.5</v>
      </c>
      <c r="Q17" s="22">
        <f>+SUM('Income Statement'!AL5:AN5)</f>
        <v>297801.75</v>
      </c>
      <c r="R17" s="308">
        <f>SUM(N17:Q17)</f>
        <v>1091187.625</v>
      </c>
      <c r="S17" s="20">
        <f>+SUM('Income Statement'!AO5:AQ5)</f>
        <v>425481.625</v>
      </c>
      <c r="T17" s="21">
        <f>SUM('Income Statement'!AR5:AT5)</f>
        <v>450844.75</v>
      </c>
      <c r="U17" s="21">
        <f>+SUM('Income Statement'!AU5:AW5)</f>
        <v>517104.875</v>
      </c>
      <c r="V17" s="22">
        <f>+SUM('Income Statement'!AX5:AZ5)</f>
        <v>552148</v>
      </c>
      <c r="W17" s="308">
        <f>SUM(S17:V17)</f>
        <v>1945579.25</v>
      </c>
      <c r="X17" s="20">
        <f>+SUM('Income Statement'!BA5:BC5)</f>
        <v>737310.5499999999</v>
      </c>
      <c r="Y17" s="21">
        <f>SUM('Income Statement'!BD5:BF5)</f>
        <v>785950.1749999999</v>
      </c>
      <c r="Z17" s="21">
        <f>+SUM('Income Statement'!BG5:BI5)</f>
        <v>880689.4249999999</v>
      </c>
      <c r="AA17" s="22">
        <f>+SUM('Income Statement'!BJ5:BL5)</f>
        <v>948539.0499999999</v>
      </c>
      <c r="AB17" s="308">
        <f aca="true" t="shared" si="0" ref="AB17:AB23">SUM(X17:AA17)</f>
        <v>3352489.1999999997</v>
      </c>
      <c r="AD17" s="478"/>
      <c r="AE17" s="395"/>
      <c r="AF17" s="395"/>
      <c r="AG17" s="395"/>
    </row>
    <row r="18" spans="2:30" ht="15.75">
      <c r="B18" s="390" t="str">
        <f>+'Income Statement'!B6</f>
        <v>Total Revenue Booking</v>
      </c>
      <c r="C18" s="203">
        <f>'Income Statement'!D6</f>
        <v>24903</v>
      </c>
      <c r="D18" s="27">
        <f>+SUM('Income Statement'!E6:G6)</f>
        <v>0</v>
      </c>
      <c r="E18" s="28">
        <f>SUM('Income Statement'!H6:J6)</f>
        <v>0</v>
      </c>
      <c r="F18" s="28">
        <f>+SUM('Income Statement'!K6:M6)</f>
        <v>0</v>
      </c>
      <c r="G18" s="29">
        <f>+SUM('Income Statement'!N6:P6)</f>
        <v>9600</v>
      </c>
      <c r="H18" s="203">
        <f aca="true" t="shared" si="1" ref="H18:H24">+SUM(D18:G18)</f>
        <v>9600</v>
      </c>
      <c r="I18" s="27">
        <f>+SUM('Income Statement'!Q6:S6)</f>
        <v>24000</v>
      </c>
      <c r="J18" s="28">
        <f>SUM('Income Statement'!T6:V6)</f>
        <v>24000</v>
      </c>
      <c r="K18" s="28">
        <f>+SUM('Income Statement'!W6:Y6)</f>
        <v>36750</v>
      </c>
      <c r="L18" s="29">
        <f>+SUM('Income Statement'!Z6:AB6)</f>
        <v>36750</v>
      </c>
      <c r="M18" s="203">
        <f aca="true" t="shared" si="2" ref="M18:M19">SUM(I18:L18)</f>
        <v>121500</v>
      </c>
      <c r="N18" s="27">
        <f>+SUM('Income Statement'!AC6:AE6)</f>
        <v>75599.99999999999</v>
      </c>
      <c r="O18" s="28">
        <f>SUM('Income Statement'!AF6:AH6)</f>
        <v>75599.99999999999</v>
      </c>
      <c r="P18" s="28">
        <f>+SUM('Income Statement'!AI6:AK6)</f>
        <v>75599.99999999999</v>
      </c>
      <c r="Q18" s="29">
        <f>+SUM('Income Statement'!AL6:AN6)</f>
        <v>75599.99999999999</v>
      </c>
      <c r="R18" s="203">
        <f aca="true" t="shared" si="3" ref="R18:R20">SUM(N18:Q18)</f>
        <v>302399.99999999994</v>
      </c>
      <c r="S18" s="27">
        <f>+SUM('Income Statement'!AO6:AQ6)</f>
        <v>141227.99999999997</v>
      </c>
      <c r="T18" s="28">
        <f>SUM('Income Statement'!AR6:AT6)</f>
        <v>141227.99999999997</v>
      </c>
      <c r="U18" s="28">
        <f>+SUM('Income Statement'!AU6:AW6)</f>
        <v>141227.99999999997</v>
      </c>
      <c r="V18" s="29">
        <f>+SUM('Income Statement'!AX6:AZ6)</f>
        <v>141227.99999999997</v>
      </c>
      <c r="W18" s="203">
        <f aca="true" t="shared" si="4" ref="W18:W20">SUM(S18:V18)</f>
        <v>564911.9999999999</v>
      </c>
      <c r="X18" s="27">
        <f>+SUM('Income Statement'!BA6:BC6)</f>
        <v>240756.29999999993</v>
      </c>
      <c r="Y18" s="28">
        <f>SUM('Income Statement'!BD6:BF6)</f>
        <v>240756.29999999993</v>
      </c>
      <c r="Z18" s="28">
        <f>+SUM('Income Statement'!BG6:BI6)</f>
        <v>240756.29999999993</v>
      </c>
      <c r="AA18" s="29">
        <f>+SUM('Income Statement'!BJ6:BL6)</f>
        <v>240756.29999999993</v>
      </c>
      <c r="AB18" s="203">
        <f t="shared" si="0"/>
        <v>963025.1999999997</v>
      </c>
      <c r="AD18" s="99"/>
    </row>
    <row r="19" spans="2:28" ht="15.75">
      <c r="B19" s="390" t="str">
        <f>+'Income Statement'!B7</f>
        <v>Total Revenue from Digital Fairs</v>
      </c>
      <c r="C19" s="203">
        <f>'Income Statement'!D7</f>
        <v>0</v>
      </c>
      <c r="D19" s="27">
        <f>+SUM('Income Statement'!E7:G7)</f>
        <v>0</v>
      </c>
      <c r="E19" s="28">
        <f>SUM('Income Statement'!H7:J7)</f>
        <v>8370</v>
      </c>
      <c r="F19" s="28">
        <f>+SUM('Income Statement'!K7:M7)</f>
        <v>2780</v>
      </c>
      <c r="G19" s="29">
        <f>+SUM('Income Statement'!N7:P7)</f>
        <v>33000</v>
      </c>
      <c r="H19" s="203">
        <f t="shared" si="1"/>
        <v>44150</v>
      </c>
      <c r="I19" s="27">
        <f>+SUM('Income Statement'!Q7:S7)</f>
        <v>35475</v>
      </c>
      <c r="J19" s="28">
        <f>SUM('Income Statement'!T7:V7)</f>
        <v>35475</v>
      </c>
      <c r="K19" s="28">
        <f>+SUM('Income Statement'!W7:Y7)</f>
        <v>35475</v>
      </c>
      <c r="L19" s="29">
        <f>+SUM('Income Statement'!Z7:AB7)</f>
        <v>35475</v>
      </c>
      <c r="M19" s="203">
        <f t="shared" si="2"/>
        <v>141900</v>
      </c>
      <c r="N19" s="27">
        <f>+SUM('Income Statement'!AC7:AE7)</f>
        <v>71442</v>
      </c>
      <c r="O19" s="28">
        <f>SUM('Income Statement'!AF7:AH7)</f>
        <v>71442</v>
      </c>
      <c r="P19" s="28">
        <f>+SUM('Income Statement'!AI7:AK7)</f>
        <v>71442</v>
      </c>
      <c r="Q19" s="29">
        <f>+SUM('Income Statement'!AL7:AN7)</f>
        <v>71442</v>
      </c>
      <c r="R19" s="203">
        <f t="shared" si="3"/>
        <v>285768</v>
      </c>
      <c r="S19" s="27">
        <f>+SUM('Income Statement'!AO7:AQ7)</f>
        <v>107991</v>
      </c>
      <c r="T19" s="28">
        <f>SUM('Income Statement'!AR7:AT7)</f>
        <v>107991</v>
      </c>
      <c r="U19" s="28">
        <f>+SUM('Income Statement'!AU7:AW7)</f>
        <v>143988</v>
      </c>
      <c r="V19" s="29">
        <f>+SUM('Income Statement'!AX7:AZ7)</f>
        <v>143988</v>
      </c>
      <c r="W19" s="203">
        <f t="shared" si="4"/>
        <v>503958</v>
      </c>
      <c r="X19" s="27">
        <f>+SUM('Income Statement'!BA7:BC7)</f>
        <v>181515</v>
      </c>
      <c r="Y19" s="28">
        <f>SUM('Income Statement'!BD7:BF7)</f>
        <v>181515</v>
      </c>
      <c r="Z19" s="28">
        <f>+SUM('Income Statement'!BG7:BI7)</f>
        <v>217818</v>
      </c>
      <c r="AA19" s="29">
        <f>+SUM('Income Statement'!BJ7:BL7)</f>
        <v>217818</v>
      </c>
      <c r="AB19" s="203">
        <f t="shared" si="0"/>
        <v>798666</v>
      </c>
    </row>
    <row r="20" spans="2:29" ht="15.75">
      <c r="B20" s="390" t="str">
        <f>+'Income Statement'!B8</f>
        <v>Total Revenue SHOP</v>
      </c>
      <c r="C20" s="203">
        <f>'Income Statement'!D8</f>
        <v>0</v>
      </c>
      <c r="D20" s="27">
        <f>+SUM('Income Statement'!E8:G8)</f>
        <v>0</v>
      </c>
      <c r="E20" s="28">
        <f>SUM('Income Statement'!H8:J8)</f>
        <v>0</v>
      </c>
      <c r="F20" s="28">
        <f>+SUM('Income Statement'!K8:M8)</f>
        <v>0</v>
      </c>
      <c r="G20" s="29">
        <f>+SUM('Income Statement'!N8:P8)</f>
        <v>10761.25</v>
      </c>
      <c r="H20" s="203">
        <f t="shared" si="1"/>
        <v>10761.25</v>
      </c>
      <c r="I20" s="27">
        <f>+SUM('Income Statement'!Q8:S8)</f>
        <v>54627</v>
      </c>
      <c r="J20" s="28">
        <f>SUM('Income Statement'!T8:V8)</f>
        <v>68427</v>
      </c>
      <c r="K20" s="28">
        <f>+SUM('Income Statement'!W8:Y8)</f>
        <v>77970.25</v>
      </c>
      <c r="L20" s="29">
        <f>+SUM('Income Statement'!Z8:AB8)</f>
        <v>88583.5</v>
      </c>
      <c r="M20" s="203">
        <f>SUM(I20:L20)</f>
        <v>289607.75</v>
      </c>
      <c r="N20" s="27">
        <f>+SUM('Income Statement'!AC8:AE8)</f>
        <v>103236.75</v>
      </c>
      <c r="O20" s="28">
        <f>SUM('Income Statement'!AF8:AH8)</f>
        <v>116566.625</v>
      </c>
      <c r="P20" s="28">
        <f>+SUM('Income Statement'!AI8:AK8)</f>
        <v>132456.5</v>
      </c>
      <c r="Q20" s="29">
        <f>+SUM('Income Statement'!AL8:AN8)</f>
        <v>150759.75</v>
      </c>
      <c r="R20" s="203">
        <f t="shared" si="3"/>
        <v>503019.625</v>
      </c>
      <c r="S20" s="27">
        <f>+SUM('Income Statement'!AO8:AQ8)</f>
        <v>176262.625</v>
      </c>
      <c r="T20" s="28">
        <f>SUM('Income Statement'!AR8:AT8)</f>
        <v>201625.75</v>
      </c>
      <c r="U20" s="28">
        <f>+SUM('Income Statement'!AU8:AW8)</f>
        <v>231888.875</v>
      </c>
      <c r="V20" s="29">
        <f>+SUM('Income Statement'!AX8:AZ8)</f>
        <v>266932</v>
      </c>
      <c r="W20" s="203">
        <f t="shared" si="4"/>
        <v>876709.25</v>
      </c>
      <c r="X20" s="27">
        <f>+SUM('Income Statement'!BA8:BC8)</f>
        <v>315039.25</v>
      </c>
      <c r="Y20" s="28">
        <f>SUM('Income Statement'!BD8:BF8)</f>
        <v>363678.875</v>
      </c>
      <c r="Z20" s="28">
        <f>+SUM('Income Statement'!BG8:BI8)</f>
        <v>422115.125</v>
      </c>
      <c r="AA20" s="29">
        <f>+SUM('Income Statement'!BJ8:BL8)</f>
        <v>489964.75</v>
      </c>
      <c r="AB20" s="203">
        <f t="shared" si="0"/>
        <v>1590798</v>
      </c>
      <c r="AC20" s="331"/>
    </row>
    <row r="21" spans="2:29" ht="15.75">
      <c r="B21" s="390">
        <f>+'Income Statement'!B9</f>
        <v>0</v>
      </c>
      <c r="C21" s="203">
        <f>'Income Statement'!D9</f>
        <v>0</v>
      </c>
      <c r="D21" s="27">
        <f>+SUM('Income Statement'!E9:G9)</f>
        <v>0</v>
      </c>
      <c r="E21" s="28">
        <f>SUM('Income Statement'!H9:J9)</f>
        <v>0</v>
      </c>
      <c r="F21" s="28">
        <f>+SUM('Income Statement'!K9:M9)</f>
        <v>0</v>
      </c>
      <c r="G21" s="29">
        <f>+SUM('Income Statement'!N9:P9)</f>
        <v>0</v>
      </c>
      <c r="H21" s="203">
        <f t="shared" si="1"/>
        <v>0</v>
      </c>
      <c r="I21" s="27">
        <f>+SUM('Income Statement'!Q9:S9)</f>
        <v>0</v>
      </c>
      <c r="J21" s="28">
        <f>SUM('Income Statement'!T9:V9)</f>
        <v>0</v>
      </c>
      <c r="K21" s="28">
        <f>+SUM('Income Statement'!W9:Y9)</f>
        <v>0</v>
      </c>
      <c r="L21" s="29">
        <f>+SUM('Income Statement'!Z9:AB9)</f>
        <v>0</v>
      </c>
      <c r="M21" s="203">
        <f>SUM(I21:L21)</f>
        <v>0</v>
      </c>
      <c r="N21" s="27">
        <f>+SUM('Income Statement'!AC9:AE9)</f>
        <v>0</v>
      </c>
      <c r="O21" s="28">
        <f>SUM('Income Statement'!AF9:AH9)</f>
        <v>0</v>
      </c>
      <c r="P21" s="28">
        <f>+SUM('Income Statement'!AI9:AK9)</f>
        <v>0</v>
      </c>
      <c r="Q21" s="29">
        <f>+SUM('Income Statement'!AL9:AN9)</f>
        <v>0</v>
      </c>
      <c r="R21" s="203">
        <f aca="true" t="shared" si="5" ref="R21">SUM(N21:Q21)</f>
        <v>0</v>
      </c>
      <c r="S21" s="27">
        <f>+SUM('Income Statement'!AO9:AQ9)</f>
        <v>0</v>
      </c>
      <c r="T21" s="28">
        <f>SUM('Income Statement'!AR9:AT9)</f>
        <v>0</v>
      </c>
      <c r="U21" s="28">
        <f>+SUM('Income Statement'!AU9:AW9)</f>
        <v>0</v>
      </c>
      <c r="V21" s="29">
        <f>+SUM('Income Statement'!AX9:AZ9)</f>
        <v>0</v>
      </c>
      <c r="W21" s="203">
        <f aca="true" t="shared" si="6" ref="W21">SUM(S21:V21)</f>
        <v>0</v>
      </c>
      <c r="X21" s="27">
        <f>+SUM('Income Statement'!BA9:BC9)</f>
        <v>0</v>
      </c>
      <c r="Y21" s="28">
        <f>SUM('Income Statement'!BD9:BF9)</f>
        <v>0</v>
      </c>
      <c r="Z21" s="28">
        <f>+SUM('Income Statement'!BG9:BI9)</f>
        <v>0</v>
      </c>
      <c r="AA21" s="29">
        <f>+SUM('Income Statement'!BJ9:BL9)</f>
        <v>0</v>
      </c>
      <c r="AB21" s="203">
        <f t="shared" si="0"/>
        <v>0</v>
      </c>
      <c r="AC21" s="331"/>
    </row>
    <row r="22" spans="2:29" ht="15.75">
      <c r="B22" s="390">
        <f>+'Income Statement'!B10</f>
        <v>0</v>
      </c>
      <c r="C22" s="203">
        <f>'Income Statement'!D10</f>
        <v>0</v>
      </c>
      <c r="D22" s="27">
        <f>+SUM('Income Statement'!E10:G10)</f>
        <v>0</v>
      </c>
      <c r="E22" s="28">
        <f>SUM('Income Statement'!H10:J10)</f>
        <v>0</v>
      </c>
      <c r="F22" s="28">
        <f>+SUM('Income Statement'!K10:M10)</f>
        <v>0</v>
      </c>
      <c r="G22" s="29">
        <f>+SUM('Income Statement'!N10:P10)</f>
        <v>0</v>
      </c>
      <c r="H22" s="203">
        <f t="shared" si="1"/>
        <v>0</v>
      </c>
      <c r="I22" s="27">
        <f>+SUM('Income Statement'!Q10:S10)</f>
        <v>0</v>
      </c>
      <c r="J22" s="28">
        <f>SUM('Income Statement'!T10:V10)</f>
        <v>0</v>
      </c>
      <c r="K22" s="28">
        <f>+SUM('Income Statement'!W10:Y10)</f>
        <v>0</v>
      </c>
      <c r="L22" s="29">
        <f>+SUM('Income Statement'!Z10:AB10)</f>
        <v>0</v>
      </c>
      <c r="M22" s="203">
        <f>SUM(I22:L22)</f>
        <v>0</v>
      </c>
      <c r="N22" s="27">
        <f>+SUM('Income Statement'!AC10:AE10)</f>
        <v>0</v>
      </c>
      <c r="O22" s="28">
        <f>SUM('Income Statement'!AF10:AH10)</f>
        <v>0</v>
      </c>
      <c r="P22" s="28">
        <f>+SUM('Income Statement'!AI10:AK10)</f>
        <v>0</v>
      </c>
      <c r="Q22" s="29">
        <f>+SUM('Income Statement'!AL10:AN10)</f>
        <v>0</v>
      </c>
      <c r="R22" s="203">
        <f aca="true" t="shared" si="7" ref="R22">SUM(N22:Q22)</f>
        <v>0</v>
      </c>
      <c r="S22" s="27">
        <f>+SUM('Income Statement'!AO10:AQ10)</f>
        <v>0</v>
      </c>
      <c r="T22" s="28">
        <f>SUM('Income Statement'!AR10:AT10)</f>
        <v>0</v>
      </c>
      <c r="U22" s="28">
        <f>+SUM('Income Statement'!AU10:AW10)</f>
        <v>0</v>
      </c>
      <c r="V22" s="29">
        <f>+SUM('Income Statement'!AX10:AZ10)</f>
        <v>0</v>
      </c>
      <c r="W22" s="203">
        <f aca="true" t="shared" si="8" ref="W22">SUM(S22:V22)</f>
        <v>0</v>
      </c>
      <c r="X22" s="27">
        <f>+SUM('Income Statement'!BA10:BC10)</f>
        <v>0</v>
      </c>
      <c r="Y22" s="28">
        <f>SUM('Income Statement'!BD10:BF10)</f>
        <v>0</v>
      </c>
      <c r="Z22" s="28">
        <f>+SUM('Income Statement'!BG10:BI10)</f>
        <v>0</v>
      </c>
      <c r="AA22" s="29">
        <f>+SUM('Income Statement'!BJ10:BL10)</f>
        <v>0</v>
      </c>
      <c r="AB22" s="203">
        <f t="shared" si="0"/>
        <v>0</v>
      </c>
      <c r="AC22" s="331"/>
    </row>
    <row r="23" spans="2:29" ht="15.75">
      <c r="B23" s="390">
        <f>+'Income Statement'!B11</f>
        <v>0</v>
      </c>
      <c r="C23" s="203">
        <f>'Income Statement'!D11</f>
        <v>0</v>
      </c>
      <c r="D23" s="27">
        <f>+SUM('Income Statement'!E11:G11)</f>
        <v>0</v>
      </c>
      <c r="E23" s="28">
        <f>SUM('Income Statement'!H11:J11)</f>
        <v>0</v>
      </c>
      <c r="F23" s="28">
        <f>+SUM('Income Statement'!K11:M11)</f>
        <v>0</v>
      </c>
      <c r="G23" s="29">
        <f>+SUM('Income Statement'!N11:P11)</f>
        <v>0</v>
      </c>
      <c r="H23" s="203">
        <f t="shared" si="1"/>
        <v>0</v>
      </c>
      <c r="I23" s="27">
        <f>+SUM('Income Statement'!Q11:S11)</f>
        <v>0</v>
      </c>
      <c r="J23" s="28">
        <f>SUM('Income Statement'!T11:V11)</f>
        <v>0</v>
      </c>
      <c r="K23" s="28">
        <f>+SUM('Income Statement'!W11:Y11)</f>
        <v>0</v>
      </c>
      <c r="L23" s="29">
        <f>+SUM('Income Statement'!Z11:AB11)</f>
        <v>0</v>
      </c>
      <c r="M23" s="203">
        <f>SUM(I23:L23)</f>
        <v>0</v>
      </c>
      <c r="N23" s="27">
        <f>+SUM('Income Statement'!AC11:AE11)</f>
        <v>0</v>
      </c>
      <c r="O23" s="28">
        <f>SUM('Income Statement'!AF11:AH11)</f>
        <v>0</v>
      </c>
      <c r="P23" s="28">
        <f>+SUM('Income Statement'!AI11:AK11)</f>
        <v>0</v>
      </c>
      <c r="Q23" s="29">
        <f>+SUM('Income Statement'!AL11:AN11)</f>
        <v>0</v>
      </c>
      <c r="R23" s="203">
        <f aca="true" t="shared" si="9" ref="R23">SUM(N23:Q23)</f>
        <v>0</v>
      </c>
      <c r="S23" s="27">
        <f>+SUM('Income Statement'!AO11:AQ11)</f>
        <v>0</v>
      </c>
      <c r="T23" s="28">
        <f>SUM('Income Statement'!AR11:AT11)</f>
        <v>0</v>
      </c>
      <c r="U23" s="28">
        <f>+SUM('Income Statement'!AU11:AW11)</f>
        <v>0</v>
      </c>
      <c r="V23" s="29">
        <f>+SUM('Income Statement'!AX11:AZ11)</f>
        <v>0</v>
      </c>
      <c r="W23" s="203">
        <f aca="true" t="shared" si="10" ref="W23">SUM(S23:V23)</f>
        <v>0</v>
      </c>
      <c r="X23" s="27">
        <f>+SUM('Income Statement'!BA11:BC11)</f>
        <v>0</v>
      </c>
      <c r="Y23" s="28">
        <f>SUM('Income Statement'!BD11:BF11)</f>
        <v>0</v>
      </c>
      <c r="Z23" s="28">
        <f>+SUM('Income Statement'!BG11:BI11)</f>
        <v>0</v>
      </c>
      <c r="AA23" s="29">
        <f>+SUM('Income Statement'!BJ11:BL11)</f>
        <v>0</v>
      </c>
      <c r="AB23" s="203">
        <f t="shared" si="0"/>
        <v>0</v>
      </c>
      <c r="AC23" s="331"/>
    </row>
    <row r="24" spans="2:29" ht="15.75">
      <c r="B24" s="19" t="s">
        <v>171</v>
      </c>
      <c r="C24" s="46">
        <f>'Income Statement'!D12</f>
        <v>10471</v>
      </c>
      <c r="D24" s="24">
        <f>+SUM('Income Statement'!E12:G12)</f>
        <v>0</v>
      </c>
      <c r="E24" s="23">
        <f>+SUM('Income Statement'!H12:J12)</f>
        <v>6400.18</v>
      </c>
      <c r="F24" s="23">
        <f>+SUM('Income Statement'!K12:M12)</f>
        <v>2499.92</v>
      </c>
      <c r="G24" s="25">
        <f>+SUM('Income Statement'!N12:P12)</f>
        <v>31857.057500000003</v>
      </c>
      <c r="H24" s="46">
        <f t="shared" si="1"/>
        <v>40757.1575</v>
      </c>
      <c r="I24" s="24">
        <f>+SUM('Income Statement'!Q12:S12)</f>
        <v>44857.428</v>
      </c>
      <c r="J24" s="23">
        <f>+SUM('Income Statement'!T12:V12)</f>
        <v>45050.628</v>
      </c>
      <c r="K24" s="23">
        <f>+SUM('Income Statement'!W12:Y12)</f>
        <v>55572.733499999995</v>
      </c>
      <c r="L24" s="25">
        <f>+SUM('Income Statement'!Z12:AB12)</f>
        <v>55731.319</v>
      </c>
      <c r="M24" s="46">
        <f>+SUM(I24:L24)</f>
        <v>201212.10849999997</v>
      </c>
      <c r="N24" s="24">
        <f>+SUM('Income Statement'!AC12:AE12)</f>
        <v>107143.9025</v>
      </c>
      <c r="O24" s="23">
        <f>+SUM('Income Statement'!AF12:AH12)</f>
        <v>107345.52075</v>
      </c>
      <c r="P24" s="23">
        <f>+SUM('Income Statement'!AI12:AK12)</f>
        <v>107582.97899999998</v>
      </c>
      <c r="Q24" s="25">
        <f>+SUM('Income Statement'!AL12:AN12)</f>
        <v>107849.2245</v>
      </c>
      <c r="R24" s="46">
        <f>+SUM(N24:Q24)</f>
        <v>429921.62675</v>
      </c>
      <c r="S24" s="24">
        <f>+SUM('Income Statement'!AO12:AQ12)</f>
        <v>186853.54274999996</v>
      </c>
      <c r="T24" s="23">
        <f>+SUM('Income Statement'!AR12:AT12)</f>
        <v>187233.62649999995</v>
      </c>
      <c r="U24" s="23">
        <f>+SUM('Income Statement'!AU12:AW12)</f>
        <v>209486.26824999996</v>
      </c>
      <c r="V24" s="25">
        <f>+SUM('Income Statement'!AX12:AZ12)</f>
        <v>210001.87199999997</v>
      </c>
      <c r="W24" s="46">
        <f>+SUM(S24:V24)</f>
        <v>793575.3094999999</v>
      </c>
      <c r="X24" s="24">
        <f>+SUM('Income Statement'!BA12:BC12)</f>
        <v>317975.20269999997</v>
      </c>
      <c r="Y24" s="23">
        <f>+SUM('Income Statement'!BD12:BF12)</f>
        <v>318701.15744999994</v>
      </c>
      <c r="Z24" s="23">
        <f>+SUM('Income Statement'!BG12:BI12)</f>
        <v>341377.50694999995</v>
      </c>
      <c r="AA24" s="25">
        <f>+SUM('Income Statement'!BJ12:BL12)</f>
        <v>342372.40169999993</v>
      </c>
      <c r="AB24" s="46">
        <f>+SUM(X24:AA24)</f>
        <v>1320426.2687999997</v>
      </c>
      <c r="AC24" s="331"/>
    </row>
    <row r="25" spans="2:30" ht="15.75">
      <c r="B25" s="390" t="str">
        <f>+'Income Statement'!B13</f>
        <v>Commission for Exhibition Space Provider</v>
      </c>
      <c r="C25" s="203">
        <f>'Income Statement'!D13</f>
        <v>10471</v>
      </c>
      <c r="D25" s="27">
        <f>+SUM('Income Statement'!E13:G13)</f>
        <v>0</v>
      </c>
      <c r="E25" s="28">
        <f>+SUM('Income Statement'!H13:J13)</f>
        <v>0</v>
      </c>
      <c r="F25" s="28">
        <f>+SUM('Income Statement'!K13:M13)</f>
        <v>0</v>
      </c>
      <c r="G25" s="29">
        <f>+SUM('Income Statement'!N13:P13)</f>
        <v>8160</v>
      </c>
      <c r="H25" s="203">
        <f aca="true" t="shared" si="11" ref="H25:H30">+SUM(D25:G25)</f>
        <v>8160</v>
      </c>
      <c r="I25" s="27">
        <f>+SUM('Income Statement'!Q13:S13)</f>
        <v>20400</v>
      </c>
      <c r="J25" s="28">
        <f>+SUM('Income Statement'!T13:V13)</f>
        <v>20400</v>
      </c>
      <c r="K25" s="28">
        <f>+SUM('Income Statement'!W13:Y13)</f>
        <v>30600</v>
      </c>
      <c r="L25" s="29">
        <f>+SUM('Income Statement'!Z13:AB13)</f>
        <v>30600</v>
      </c>
      <c r="M25" s="203">
        <f aca="true" t="shared" si="12" ref="M25:M30">+SUM(I25:L25)</f>
        <v>102000</v>
      </c>
      <c r="N25" s="27">
        <f>+SUM('Income Statement'!AC13:AE13)</f>
        <v>58649.999999999985</v>
      </c>
      <c r="O25" s="28">
        <f>+SUM('Income Statement'!AF13:AH13)</f>
        <v>58649.999999999985</v>
      </c>
      <c r="P25" s="28">
        <f>+SUM('Income Statement'!AI13:AK13)</f>
        <v>58649.999999999985</v>
      </c>
      <c r="Q25" s="29">
        <f>+SUM('Income Statement'!AL13:AN13)</f>
        <v>58649.999999999985</v>
      </c>
      <c r="R25" s="203">
        <f aca="true" t="shared" si="13" ref="R25:R30">+SUM(N25:Q25)</f>
        <v>234599.99999999994</v>
      </c>
      <c r="S25" s="27">
        <f>+SUM('Income Statement'!AO13:AQ13)</f>
        <v>113311.79999999997</v>
      </c>
      <c r="T25" s="28">
        <f>+SUM('Income Statement'!AR13:AT13)</f>
        <v>113311.79999999997</v>
      </c>
      <c r="U25" s="28">
        <f>+SUM('Income Statement'!AU13:AW13)</f>
        <v>113311.79999999997</v>
      </c>
      <c r="V25" s="29">
        <f>+SUM('Income Statement'!AX13:AZ13)</f>
        <v>113311.79999999997</v>
      </c>
      <c r="W25" s="203">
        <f aca="true" t="shared" si="14" ref="W25:W30">+SUM(S25:V25)</f>
        <v>453247.1999999999</v>
      </c>
      <c r="X25" s="27">
        <f>+SUM('Income Statement'!BA13:BC13)</f>
        <v>195462.85499999995</v>
      </c>
      <c r="Y25" s="28">
        <f>+SUM('Income Statement'!BD13:BF13)</f>
        <v>195462.85499999995</v>
      </c>
      <c r="Z25" s="28">
        <f>+SUM('Income Statement'!BG13:BI13)</f>
        <v>195462.85499999995</v>
      </c>
      <c r="AA25" s="29">
        <f>+SUM('Income Statement'!BJ13:BL13)</f>
        <v>195462.85499999995</v>
      </c>
      <c r="AB25" s="203">
        <f aca="true" t="shared" si="15" ref="AB25:AB30">+SUM(X25:AA25)</f>
        <v>781851.4199999998</v>
      </c>
      <c r="AD25" s="99"/>
    </row>
    <row r="26" spans="2:28" ht="15.75">
      <c r="B26" s="390" t="str">
        <f>+'Income Statement'!B14</f>
        <v>Stripe Commission</v>
      </c>
      <c r="C26" s="203">
        <f>'Income Statement'!D14</f>
        <v>0</v>
      </c>
      <c r="D26" s="27">
        <f>+SUM('Income Statement'!E14:G14)</f>
        <v>0</v>
      </c>
      <c r="E26" s="28">
        <f>+SUM('Income Statement'!H14:J14)</f>
        <v>117.18</v>
      </c>
      <c r="F26" s="28">
        <f>+SUM('Income Statement'!K14:M14)</f>
        <v>38.92</v>
      </c>
      <c r="G26" s="29">
        <f>+SUM('Income Statement'!N14:P14)</f>
        <v>747.0575000000001</v>
      </c>
      <c r="H26" s="203">
        <f t="shared" si="11"/>
        <v>903.1575000000001</v>
      </c>
      <c r="I26" s="27">
        <f>+SUM('Income Statement'!Q14:S14)</f>
        <v>1597.4279999999999</v>
      </c>
      <c r="J26" s="28">
        <f>+SUM('Income Statement'!T14:V14)</f>
        <v>1790.6280000000002</v>
      </c>
      <c r="K26" s="28">
        <f>+SUM('Income Statement'!W14:Y14)</f>
        <v>2102.7335000000003</v>
      </c>
      <c r="L26" s="29">
        <f>+SUM('Income Statement'!Z14:AB14)</f>
        <v>2251.319</v>
      </c>
      <c r="M26" s="203">
        <f t="shared" si="12"/>
        <v>7742.1085</v>
      </c>
      <c r="N26" s="27">
        <f>+SUM('Income Statement'!AC14:AE14)</f>
        <v>3503.9024999999997</v>
      </c>
      <c r="O26" s="28">
        <f>+SUM('Income Statement'!AF14:AH14)</f>
        <v>3690.5207499999997</v>
      </c>
      <c r="P26" s="28">
        <f>+SUM('Income Statement'!AI14:AK14)</f>
        <v>3912.979</v>
      </c>
      <c r="Q26" s="29">
        <f>+SUM('Income Statement'!AL14:AN14)</f>
        <v>4169.224499999999</v>
      </c>
      <c r="R26" s="203">
        <f t="shared" si="13"/>
        <v>15276.62675</v>
      </c>
      <c r="S26" s="27">
        <f>+SUM('Income Statement'!AO14:AQ14)</f>
        <v>5956.74275</v>
      </c>
      <c r="T26" s="28">
        <f>+SUM('Income Statement'!AR14:AT14)</f>
        <v>6311.8265</v>
      </c>
      <c r="U26" s="28">
        <f>+SUM('Income Statement'!AU14:AW14)</f>
        <v>7239.46825</v>
      </c>
      <c r="V26" s="29">
        <f>+SUM('Income Statement'!AX14:AZ14)</f>
        <v>7730.071999999999</v>
      </c>
      <c r="W26" s="203">
        <f t="shared" si="14"/>
        <v>27238.1095</v>
      </c>
      <c r="X26" s="27">
        <f>+SUM('Income Statement'!BA14:BC14)</f>
        <v>10322.347699999998</v>
      </c>
      <c r="Y26" s="28">
        <f>+SUM('Income Statement'!BD14:BF14)</f>
        <v>11003.30245</v>
      </c>
      <c r="Z26" s="28">
        <f>+SUM('Income Statement'!BG14:BI14)</f>
        <v>12329.65195</v>
      </c>
      <c r="AA26" s="29">
        <f>+SUM('Income Statement'!BJ14:BL14)</f>
        <v>13279.5467</v>
      </c>
      <c r="AB26" s="203">
        <f t="shared" si="15"/>
        <v>46934.8488</v>
      </c>
    </row>
    <row r="27" spans="2:29" ht="15.75">
      <c r="B27" s="390" t="str">
        <f>+'Income Statement'!B15</f>
        <v>Digital Fair Cost</v>
      </c>
      <c r="C27" s="203">
        <f>'Income Statement'!D15</f>
        <v>0</v>
      </c>
      <c r="D27" s="27">
        <f>+SUM('Income Statement'!E15:G15)</f>
        <v>0</v>
      </c>
      <c r="E27" s="28">
        <f>+SUM('Income Statement'!H15:J15)</f>
        <v>6283</v>
      </c>
      <c r="F27" s="28">
        <f>+SUM('Income Statement'!K15:M15)</f>
        <v>2461</v>
      </c>
      <c r="G27" s="29">
        <f>+SUM('Income Statement'!N15:P15)</f>
        <v>21300</v>
      </c>
      <c r="H27" s="203">
        <f t="shared" si="11"/>
        <v>30044</v>
      </c>
      <c r="I27" s="27">
        <f>+SUM('Income Statement'!Q15:S15)</f>
        <v>21300</v>
      </c>
      <c r="J27" s="28">
        <f>+SUM('Income Statement'!T15:V15)</f>
        <v>21300</v>
      </c>
      <c r="K27" s="28">
        <f>+SUM('Income Statement'!W15:Y15)</f>
        <v>21300</v>
      </c>
      <c r="L27" s="29">
        <f>+SUM('Income Statement'!Z15:AB15)</f>
        <v>21300</v>
      </c>
      <c r="M27" s="203">
        <f t="shared" si="12"/>
        <v>85200</v>
      </c>
      <c r="N27" s="27">
        <f>+SUM('Income Statement'!AC15:AE15)</f>
        <v>42600</v>
      </c>
      <c r="O27" s="28">
        <f>+SUM('Income Statement'!AF15:AH15)</f>
        <v>42600</v>
      </c>
      <c r="P27" s="28">
        <f>+SUM('Income Statement'!AI15:AK15)</f>
        <v>42600</v>
      </c>
      <c r="Q27" s="29">
        <f>+SUM('Income Statement'!AL15:AN15)</f>
        <v>42600</v>
      </c>
      <c r="R27" s="203">
        <f t="shared" si="13"/>
        <v>170400</v>
      </c>
      <c r="S27" s="27">
        <f>+SUM('Income Statement'!AO15:AQ15)</f>
        <v>63900</v>
      </c>
      <c r="T27" s="28">
        <f>+SUM('Income Statement'!AR15:AT15)</f>
        <v>63900</v>
      </c>
      <c r="U27" s="28">
        <f>+SUM('Income Statement'!AU15:AW15)</f>
        <v>85200</v>
      </c>
      <c r="V27" s="29">
        <f>+SUM('Income Statement'!AX15:AZ15)</f>
        <v>85200</v>
      </c>
      <c r="W27" s="203">
        <f t="shared" si="14"/>
        <v>298200</v>
      </c>
      <c r="X27" s="27">
        <f>+SUM('Income Statement'!BA15:BC15)</f>
        <v>106500</v>
      </c>
      <c r="Y27" s="28">
        <f>+SUM('Income Statement'!BD15:BF15)</f>
        <v>106500</v>
      </c>
      <c r="Z27" s="28">
        <f>+SUM('Income Statement'!BG15:BI15)</f>
        <v>127800</v>
      </c>
      <c r="AA27" s="29">
        <f>+SUM('Income Statement'!BJ15:BL15)</f>
        <v>127800</v>
      </c>
      <c r="AB27" s="203">
        <f t="shared" si="15"/>
        <v>468600</v>
      </c>
      <c r="AC27" s="331"/>
    </row>
    <row r="28" spans="2:29" ht="15.75">
      <c r="B28" s="390" t="str">
        <f>+'Income Statement'!B16</f>
        <v>Shipping</v>
      </c>
      <c r="C28" s="203">
        <f>'Income Statement'!D16</f>
        <v>0</v>
      </c>
      <c r="D28" s="27">
        <f>+SUM('Income Statement'!E16:G16)</f>
        <v>0</v>
      </c>
      <c r="E28" s="28">
        <f>+SUM('Income Statement'!H16:J16)</f>
        <v>0</v>
      </c>
      <c r="F28" s="28">
        <f>+SUM('Income Statement'!K16:M16)</f>
        <v>0</v>
      </c>
      <c r="G28" s="29">
        <f>+SUM('Income Statement'!N16:P16)</f>
        <v>1650</v>
      </c>
      <c r="H28" s="203">
        <f t="shared" si="11"/>
        <v>1650</v>
      </c>
      <c r="I28" s="27">
        <f>+SUM('Income Statement'!Q16:S16)</f>
        <v>1560</v>
      </c>
      <c r="J28" s="28">
        <f>+SUM('Income Statement'!T16:V16)</f>
        <v>1560</v>
      </c>
      <c r="K28" s="28">
        <f>+SUM('Income Statement'!W16:Y16)</f>
        <v>1570</v>
      </c>
      <c r="L28" s="29">
        <f>+SUM('Income Statement'!Z16:AB16)</f>
        <v>1580</v>
      </c>
      <c r="M28" s="203">
        <f t="shared" si="12"/>
        <v>6270</v>
      </c>
      <c r="N28" s="27">
        <f>+SUM('Income Statement'!AC16:AE16)</f>
        <v>2390</v>
      </c>
      <c r="O28" s="28">
        <f>+SUM('Income Statement'!AF16:AH16)</f>
        <v>2405</v>
      </c>
      <c r="P28" s="28">
        <f>+SUM('Income Statement'!AI16:AK16)</f>
        <v>2420</v>
      </c>
      <c r="Q28" s="29">
        <f>+SUM('Income Statement'!AL16:AN16)</f>
        <v>2430</v>
      </c>
      <c r="R28" s="203">
        <f t="shared" si="13"/>
        <v>9645</v>
      </c>
      <c r="S28" s="27">
        <f>+SUM('Income Statement'!AO16:AQ16)</f>
        <v>3685</v>
      </c>
      <c r="T28" s="28">
        <f>+SUM('Income Statement'!AR16:AT16)</f>
        <v>3710</v>
      </c>
      <c r="U28" s="28">
        <f>+SUM('Income Statement'!AU16:AW16)</f>
        <v>3735</v>
      </c>
      <c r="V28" s="29">
        <f>+SUM('Income Statement'!AX16:AZ16)</f>
        <v>3760</v>
      </c>
      <c r="W28" s="203">
        <f t="shared" si="14"/>
        <v>14890</v>
      </c>
      <c r="X28" s="27">
        <f>+SUM('Income Statement'!BA16:BC16)</f>
        <v>5690</v>
      </c>
      <c r="Y28" s="28">
        <f>+SUM('Income Statement'!BD16:BF16)</f>
        <v>5735</v>
      </c>
      <c r="Z28" s="28">
        <f>+SUM('Income Statement'!BG16:BI16)</f>
        <v>5785</v>
      </c>
      <c r="AA28" s="29">
        <f>+SUM('Income Statement'!BJ16:BL16)</f>
        <v>5830</v>
      </c>
      <c r="AB28" s="203">
        <f t="shared" si="15"/>
        <v>23040</v>
      </c>
      <c r="AC28" s="331"/>
    </row>
    <row r="29" spans="2:29" ht="15.75">
      <c r="B29" s="390">
        <f>+'Income Statement'!B17</f>
        <v>0</v>
      </c>
      <c r="C29" s="203">
        <f>'Income Statement'!D17</f>
        <v>0</v>
      </c>
      <c r="D29" s="27">
        <f>+SUM('Income Statement'!E17:G17)</f>
        <v>0</v>
      </c>
      <c r="E29" s="28">
        <f>+SUM('Income Statement'!H17:J17)</f>
        <v>0</v>
      </c>
      <c r="F29" s="28">
        <f>+SUM('Income Statement'!K17:M17)</f>
        <v>0</v>
      </c>
      <c r="G29" s="29">
        <f>+SUM('Income Statement'!N17:P17)</f>
        <v>0</v>
      </c>
      <c r="H29" s="203">
        <f t="shared" si="11"/>
        <v>0</v>
      </c>
      <c r="I29" s="27">
        <f>+SUM('Income Statement'!Q17:S17)</f>
        <v>0</v>
      </c>
      <c r="J29" s="28">
        <f>+SUM('Income Statement'!T17:V17)</f>
        <v>0</v>
      </c>
      <c r="K29" s="28">
        <f>+SUM('Income Statement'!W17:Y17)</f>
        <v>0</v>
      </c>
      <c r="L29" s="29">
        <f>+SUM('Income Statement'!Z17:AB17)</f>
        <v>0</v>
      </c>
      <c r="M29" s="203">
        <f t="shared" si="12"/>
        <v>0</v>
      </c>
      <c r="N29" s="27">
        <f>+SUM('Income Statement'!AC17:AE17)</f>
        <v>0</v>
      </c>
      <c r="O29" s="28">
        <f>+SUM('Income Statement'!AF17:AH17)</f>
        <v>0</v>
      </c>
      <c r="P29" s="28">
        <f>+SUM('Income Statement'!AI17:AK17)</f>
        <v>0</v>
      </c>
      <c r="Q29" s="29">
        <f>+SUM('Income Statement'!AL17:AN17)</f>
        <v>0</v>
      </c>
      <c r="R29" s="203">
        <f t="shared" si="13"/>
        <v>0</v>
      </c>
      <c r="S29" s="27">
        <f>+SUM('Income Statement'!AO17:AQ17)</f>
        <v>0</v>
      </c>
      <c r="T29" s="28">
        <f>+SUM('Income Statement'!AR17:AT17)</f>
        <v>0</v>
      </c>
      <c r="U29" s="28">
        <f>+SUM('Income Statement'!AU17:AW17)</f>
        <v>0</v>
      </c>
      <c r="V29" s="29">
        <f>+SUM('Income Statement'!AX17:AZ17)</f>
        <v>0</v>
      </c>
      <c r="W29" s="203">
        <f t="shared" si="14"/>
        <v>0</v>
      </c>
      <c r="X29" s="27">
        <f>+SUM('Income Statement'!BA17:BC17)</f>
        <v>0</v>
      </c>
      <c r="Y29" s="28">
        <f>+SUM('Income Statement'!BD17:BF17)</f>
        <v>0</v>
      </c>
      <c r="Z29" s="28">
        <f>+SUM('Income Statement'!BG17:BI17)</f>
        <v>0</v>
      </c>
      <c r="AA29" s="29">
        <f>+SUM('Income Statement'!BJ17:BL17)</f>
        <v>0</v>
      </c>
      <c r="AB29" s="203">
        <f t="shared" si="15"/>
        <v>0</v>
      </c>
      <c r="AC29" s="331"/>
    </row>
    <row r="30" spans="2:29" ht="15.75">
      <c r="B30" s="390">
        <f>+'Income Statement'!B18</f>
        <v>0</v>
      </c>
      <c r="C30" s="203">
        <f>'Income Statement'!D18</f>
        <v>0</v>
      </c>
      <c r="D30" s="27">
        <f>+SUM('Income Statement'!E18:G18)</f>
        <v>0</v>
      </c>
      <c r="E30" s="28">
        <f>+SUM('Income Statement'!H18:J18)</f>
        <v>0</v>
      </c>
      <c r="F30" s="28">
        <f>+SUM('Income Statement'!K18:M18)</f>
        <v>0</v>
      </c>
      <c r="G30" s="29">
        <f>+SUM('Income Statement'!N18:P18)</f>
        <v>0</v>
      </c>
      <c r="H30" s="203">
        <f t="shared" si="11"/>
        <v>0</v>
      </c>
      <c r="I30" s="27">
        <f>+SUM('Income Statement'!Q18:S18)</f>
        <v>0</v>
      </c>
      <c r="J30" s="28">
        <f>+SUM('Income Statement'!T18:V18)</f>
        <v>0</v>
      </c>
      <c r="K30" s="28">
        <f>+SUM('Income Statement'!W18:Y18)</f>
        <v>0</v>
      </c>
      <c r="L30" s="29">
        <f>+SUM('Income Statement'!Z18:AB18)</f>
        <v>0</v>
      </c>
      <c r="M30" s="203">
        <f t="shared" si="12"/>
        <v>0</v>
      </c>
      <c r="N30" s="27">
        <f>+SUM('Income Statement'!AC18:AE18)</f>
        <v>0</v>
      </c>
      <c r="O30" s="28">
        <f>+SUM('Income Statement'!AF18:AH18)</f>
        <v>0</v>
      </c>
      <c r="P30" s="28">
        <f>+SUM('Income Statement'!AI18:AK18)</f>
        <v>0</v>
      </c>
      <c r="Q30" s="29">
        <f>+SUM('Income Statement'!AL18:AN18)</f>
        <v>0</v>
      </c>
      <c r="R30" s="203">
        <f t="shared" si="13"/>
        <v>0</v>
      </c>
      <c r="S30" s="27">
        <f>+SUM('Income Statement'!AO18:AQ18)</f>
        <v>0</v>
      </c>
      <c r="T30" s="28">
        <f>+SUM('Income Statement'!AR18:AT18)</f>
        <v>0</v>
      </c>
      <c r="U30" s="28">
        <f>+SUM('Income Statement'!AU18:AW18)</f>
        <v>0</v>
      </c>
      <c r="V30" s="29">
        <f>+SUM('Income Statement'!AX18:AZ18)</f>
        <v>0</v>
      </c>
      <c r="W30" s="203">
        <f t="shared" si="14"/>
        <v>0</v>
      </c>
      <c r="X30" s="27">
        <f>+SUM('Income Statement'!BA18:BC18)</f>
        <v>0</v>
      </c>
      <c r="Y30" s="28">
        <f>+SUM('Income Statement'!BD18:BF18)</f>
        <v>0</v>
      </c>
      <c r="Z30" s="28">
        <f>+SUM('Income Statement'!BG18:BI18)</f>
        <v>0</v>
      </c>
      <c r="AA30" s="29">
        <f>+SUM('Income Statement'!BJ18:BL18)</f>
        <v>0</v>
      </c>
      <c r="AB30" s="203">
        <f t="shared" si="15"/>
        <v>0</v>
      </c>
      <c r="AC30" s="331"/>
    </row>
    <row r="31" spans="2:29" ht="15.75">
      <c r="B31" s="19" t="s">
        <v>21</v>
      </c>
      <c r="C31" s="46">
        <f>+SUM(C32:C35)</f>
        <v>23005</v>
      </c>
      <c r="D31" s="24">
        <f aca="true" t="shared" si="16" ref="D31:W31">+SUM(D32:D35)</f>
        <v>11766.475244032928</v>
      </c>
      <c r="E31" s="23">
        <f t="shared" si="16"/>
        <v>7500.070562962963</v>
      </c>
      <c r="F31" s="23">
        <f t="shared" si="16"/>
        <v>10558.195812345679</v>
      </c>
      <c r="G31" s="25">
        <f t="shared" si="16"/>
        <v>58558.68518518518</v>
      </c>
      <c r="H31" s="46">
        <f t="shared" si="16"/>
        <v>88383.42680452675</v>
      </c>
      <c r="I31" s="24">
        <f t="shared" si="16"/>
        <v>98245.4</v>
      </c>
      <c r="J31" s="23">
        <f>+SUM(J32:J35)</f>
        <v>100625.4</v>
      </c>
      <c r="K31" s="23">
        <f>+SUM(K32:K35)</f>
        <v>102445.4</v>
      </c>
      <c r="L31" s="25">
        <f t="shared" si="16"/>
        <v>104315.4</v>
      </c>
      <c r="M31" s="46">
        <f>+SUM(M32:M35)</f>
        <v>405631.6</v>
      </c>
      <c r="N31" s="24">
        <f>+SUM(N32:N35)</f>
        <v>152839.71018518516</v>
      </c>
      <c r="O31" s="23">
        <f t="shared" si="16"/>
        <v>155159.71018518516</v>
      </c>
      <c r="P31" s="23">
        <f t="shared" si="16"/>
        <v>157729.71018518516</v>
      </c>
      <c r="Q31" s="25">
        <f>+SUM(Q32:Q35)</f>
        <v>160599.71018518516</v>
      </c>
      <c r="R31" s="46">
        <f>+SUM(R32:R35)</f>
        <v>626328.8407407406</v>
      </c>
      <c r="S31" s="24">
        <f>+SUM(S32:S35)</f>
        <v>184368.37777777776</v>
      </c>
      <c r="T31" s="23">
        <f t="shared" si="16"/>
        <v>188208.37777777776</v>
      </c>
      <c r="U31" s="23">
        <f>+SUM(U32:U35)</f>
        <v>192888.37777777776</v>
      </c>
      <c r="V31" s="25">
        <f t="shared" si="16"/>
        <v>198168.37777777776</v>
      </c>
      <c r="W31" s="46">
        <f t="shared" si="16"/>
        <v>763633.511111111</v>
      </c>
      <c r="X31" s="24">
        <f>+SUM(X32:X35)</f>
        <v>246812.1196296296</v>
      </c>
      <c r="Y31" s="23">
        <f aca="true" t="shared" si="17" ref="Y31">+SUM(Y32:Y35)</f>
        <v>253862.1196296296</v>
      </c>
      <c r="Z31" s="23">
        <f>+SUM(Z32:Z35)</f>
        <v>262352.1196296296</v>
      </c>
      <c r="AA31" s="25">
        <f aca="true" t="shared" si="18" ref="AA31">+SUM(AA32:AA35)</f>
        <v>272042.1196296296</v>
      </c>
      <c r="AB31" s="46">
        <f>+SUM(AB32:AB35)</f>
        <v>1035068.4785185184</v>
      </c>
      <c r="AC31" s="396"/>
    </row>
    <row r="32" spans="2:33" s="31" customFormat="1" ht="15.75">
      <c r="B32" s="390" t="str">
        <f>+'Income Statement'!B20</f>
        <v>Marketing</v>
      </c>
      <c r="C32" s="203">
        <f>+'Income Statement'!D20</f>
        <v>3799</v>
      </c>
      <c r="D32" s="27">
        <f>+SUM('Income Statement'!E20:G20)</f>
        <v>0</v>
      </c>
      <c r="E32" s="28">
        <f>+SUM('Income Statement'!H20:J20)</f>
        <v>0</v>
      </c>
      <c r="F32" s="28">
        <f>+SUM('Income Statement'!K20:M20)</f>
        <v>0</v>
      </c>
      <c r="G32" s="29">
        <f>+SUM('Income Statement'!N20:P20)</f>
        <v>18400</v>
      </c>
      <c r="H32" s="203">
        <f>+SUM(D32:G32)</f>
        <v>18400</v>
      </c>
      <c r="I32" s="27">
        <f>+SUM('Income Statement'!Q20:S20)</f>
        <v>28500</v>
      </c>
      <c r="J32" s="28">
        <f>+SUM('Income Statement'!T20:V20)</f>
        <v>30880</v>
      </c>
      <c r="K32" s="28">
        <f>+SUM('Income Statement'!W20:Y20)</f>
        <v>32700</v>
      </c>
      <c r="L32" s="29">
        <f>+SUM('Income Statement'!Z20:AB20)</f>
        <v>34570</v>
      </c>
      <c r="M32" s="203">
        <f>+SUM(I32:L32)</f>
        <v>126650</v>
      </c>
      <c r="N32" s="27">
        <f>+SUM('Income Statement'!AC20:AE20)</f>
        <v>46040</v>
      </c>
      <c r="O32" s="28">
        <f>+SUM('Income Statement'!AF20:AH20)</f>
        <v>48360</v>
      </c>
      <c r="P32" s="28">
        <f>+SUM('Income Statement'!AI20:AK20)</f>
        <v>50930</v>
      </c>
      <c r="Q32" s="29">
        <f>+SUM('Income Statement'!AL20:AN20)</f>
        <v>53800</v>
      </c>
      <c r="R32" s="203">
        <f>+SUM(N32:Q32)</f>
        <v>199130</v>
      </c>
      <c r="S32" s="27">
        <f>+SUM('Income Statement'!AO20:AQ20)</f>
        <v>70365</v>
      </c>
      <c r="T32" s="28">
        <f>+SUM('Income Statement'!AR20:AT20)</f>
        <v>74205</v>
      </c>
      <c r="U32" s="28">
        <f>+SUM('Income Statement'!AU20:AW20)</f>
        <v>78885</v>
      </c>
      <c r="V32" s="29">
        <f>+SUM('Income Statement'!AX20:AZ20)</f>
        <v>84165</v>
      </c>
      <c r="W32" s="203">
        <f>+SUM(S32:V32)</f>
        <v>307620</v>
      </c>
      <c r="X32" s="27">
        <f>+SUM('Income Statement'!BA20:BC20)</f>
        <v>110126.5</v>
      </c>
      <c r="Y32" s="28">
        <f>+SUM('Income Statement'!BD20:BF20)</f>
        <v>117176.5</v>
      </c>
      <c r="Z32" s="28">
        <f>+SUM('Income Statement'!BG20:BI20)</f>
        <v>125666.5</v>
      </c>
      <c r="AA32" s="29">
        <f>+SUM('Income Statement'!BJ20:BL20)</f>
        <v>135356.5</v>
      </c>
      <c r="AB32" s="203">
        <f>+SUM(X32:AA32)</f>
        <v>488326</v>
      </c>
      <c r="AD32" s="842"/>
      <c r="AE32" s="842"/>
      <c r="AF32" s="842"/>
      <c r="AG32" s="842"/>
    </row>
    <row r="33" spans="2:28" s="31" customFormat="1" ht="15.75">
      <c r="B33" s="390" t="str">
        <f>+'Income Statement'!B27</f>
        <v>IT</v>
      </c>
      <c r="C33" s="203">
        <f>+'Income Statement'!D27</f>
        <v>1000</v>
      </c>
      <c r="D33" s="27">
        <f>+SUM('Income Statement'!E27:G27)</f>
        <v>750</v>
      </c>
      <c r="E33" s="28">
        <f>+SUM('Income Statement'!H27:J27)</f>
        <v>750</v>
      </c>
      <c r="F33" s="28">
        <f>+SUM('Income Statement'!K27:M27)</f>
        <v>750</v>
      </c>
      <c r="G33" s="29">
        <f>+SUM('Income Statement'!N27:P27)</f>
        <v>750</v>
      </c>
      <c r="H33" s="203">
        <f>+SUM(D33:G33)</f>
        <v>3000</v>
      </c>
      <c r="I33" s="27">
        <f>+SUM('Income Statement'!Q27:S27)</f>
        <v>1000</v>
      </c>
      <c r="J33" s="28">
        <f>+SUM('Income Statement'!T27:V27)</f>
        <v>1000</v>
      </c>
      <c r="K33" s="28">
        <f>+SUM('Income Statement'!W27:Y27)</f>
        <v>1000</v>
      </c>
      <c r="L33" s="29">
        <f>+SUM('Income Statement'!Z27:AB27)</f>
        <v>1000</v>
      </c>
      <c r="M33" s="203">
        <f>+SUM(I33:L33)</f>
        <v>4000</v>
      </c>
      <c r="N33" s="27">
        <f>+SUM('Income Statement'!AC27:AE27)</f>
        <v>1250</v>
      </c>
      <c r="O33" s="28">
        <f>+SUM('Income Statement'!AF27:AH27)</f>
        <v>1250</v>
      </c>
      <c r="P33" s="28">
        <f>+SUM('Income Statement'!AI27:AK27)</f>
        <v>1250</v>
      </c>
      <c r="Q33" s="29">
        <f>+SUM('Income Statement'!AL27:AN27)</f>
        <v>1250</v>
      </c>
      <c r="R33" s="203">
        <f>+SUM(N33:Q33)</f>
        <v>5000</v>
      </c>
      <c r="S33" s="27">
        <f>+SUM('Income Statement'!AO27:AQ27)</f>
        <v>1500</v>
      </c>
      <c r="T33" s="28">
        <f>+SUM('Income Statement'!AR27:AT27)</f>
        <v>1500</v>
      </c>
      <c r="U33" s="28">
        <f>+SUM('Income Statement'!AU27:AW27)</f>
        <v>1500</v>
      </c>
      <c r="V33" s="29">
        <f>+SUM('Income Statement'!AX27:AZ27)</f>
        <v>1500</v>
      </c>
      <c r="W33" s="203">
        <f>+SUM(S33:V33)</f>
        <v>6000</v>
      </c>
      <c r="X33" s="27">
        <f>+SUM('Income Statement'!BA27:BC27)</f>
        <v>1750</v>
      </c>
      <c r="Y33" s="28">
        <f>+SUM('Income Statement'!BD27:BF27)</f>
        <v>1750</v>
      </c>
      <c r="Z33" s="28">
        <f>+SUM('Income Statement'!BG27:BI27)</f>
        <v>1750</v>
      </c>
      <c r="AA33" s="29">
        <f>+SUM('Income Statement'!BJ27:BL27)</f>
        <v>1750</v>
      </c>
      <c r="AB33" s="203">
        <f>+SUM(X33:AA33)</f>
        <v>7000</v>
      </c>
    </row>
    <row r="34" spans="2:28" s="31" customFormat="1" ht="15.75">
      <c r="B34" s="390" t="str">
        <f>+'Income Statement'!B32</f>
        <v>G&amp;A</v>
      </c>
      <c r="C34" s="203">
        <f>+'Income Statement'!D32</f>
        <v>18206</v>
      </c>
      <c r="D34" s="27">
        <f>+SUM('Income Statement'!E32:G32)</f>
        <v>0</v>
      </c>
      <c r="E34" s="28">
        <f>+SUM('Income Statement'!H32:J32)</f>
        <v>0</v>
      </c>
      <c r="F34" s="28">
        <f>+SUM('Income Statement'!K32:M32)</f>
        <v>0</v>
      </c>
      <c r="G34" s="29">
        <f>+SUM('Income Statement'!N32:P32)</f>
        <v>10600</v>
      </c>
      <c r="H34" s="203">
        <f>+SUM(D34:G34)</f>
        <v>10600</v>
      </c>
      <c r="I34" s="27">
        <f>+SUM('Income Statement'!Q32:S32)</f>
        <v>24790</v>
      </c>
      <c r="J34" s="28">
        <f>+SUM('Income Statement'!T32:V32)</f>
        <v>24790</v>
      </c>
      <c r="K34" s="28">
        <f>+SUM('Income Statement'!W32:Y32)</f>
        <v>24790</v>
      </c>
      <c r="L34" s="29">
        <f>+SUM('Income Statement'!Z32:AB32)</f>
        <v>24790</v>
      </c>
      <c r="M34" s="203">
        <f>+SUM(I34:L34)</f>
        <v>99160</v>
      </c>
      <c r="N34" s="27">
        <f>+SUM('Income Statement'!AC32:AE32)</f>
        <v>29343.999999999996</v>
      </c>
      <c r="O34" s="28">
        <f>+SUM('Income Statement'!AF32:AH32)</f>
        <v>29343.999999999996</v>
      </c>
      <c r="P34" s="28">
        <f>+SUM('Income Statement'!AI32:AK32)</f>
        <v>29343.999999999996</v>
      </c>
      <c r="Q34" s="29">
        <f>+SUM('Income Statement'!AL32:AN32)</f>
        <v>29343.999999999996</v>
      </c>
      <c r="R34" s="203">
        <f>+SUM(N34:Q34)</f>
        <v>117375.99999999999</v>
      </c>
      <c r="S34" s="27">
        <f>+SUM('Income Statement'!AO32:AQ32)</f>
        <v>34268.399999999994</v>
      </c>
      <c r="T34" s="28">
        <f>+SUM('Income Statement'!AR32:AT32)</f>
        <v>34268.399999999994</v>
      </c>
      <c r="U34" s="28">
        <f>+SUM('Income Statement'!AU32:AW32)</f>
        <v>34268.399999999994</v>
      </c>
      <c r="V34" s="29">
        <f>+SUM('Income Statement'!AX32:AZ32)</f>
        <v>34268.399999999994</v>
      </c>
      <c r="W34" s="203">
        <f>+SUM(S34:V34)</f>
        <v>137073.59999999998</v>
      </c>
      <c r="X34" s="27">
        <f>+SUM('Income Statement'!BA32:BC32)</f>
        <v>39633.240000000005</v>
      </c>
      <c r="Y34" s="28">
        <f>+SUM('Income Statement'!BD32:BF32)</f>
        <v>39633.240000000005</v>
      </c>
      <c r="Z34" s="28">
        <f>+SUM('Income Statement'!BG32:BI32)</f>
        <v>39633.240000000005</v>
      </c>
      <c r="AA34" s="29">
        <f>+SUM('Income Statement'!BJ32:BL32)</f>
        <v>39633.240000000005</v>
      </c>
      <c r="AB34" s="203">
        <f>+SUM(X34:AA34)</f>
        <v>158532.96000000002</v>
      </c>
    </row>
    <row r="35" spans="2:28" s="31" customFormat="1" ht="15.75">
      <c r="B35" s="390" t="str">
        <f>+'Income Statement'!B43</f>
        <v>HR</v>
      </c>
      <c r="C35" s="203">
        <f>+'Income Statement'!D43</f>
        <v>0</v>
      </c>
      <c r="D35" s="27">
        <f>+SUM('Income Statement'!E43:G43)</f>
        <v>11016.475244032928</v>
      </c>
      <c r="E35" s="28">
        <f>+SUM('Income Statement'!H43:J43)</f>
        <v>6750.070562962963</v>
      </c>
      <c r="F35" s="28">
        <f>+SUM('Income Statement'!K43:M43)</f>
        <v>9808.195812345679</v>
      </c>
      <c r="G35" s="29">
        <f>+SUM('Income Statement'!N43:P43)</f>
        <v>28808.685185185186</v>
      </c>
      <c r="H35" s="203">
        <f>+SUM(D35:G35)</f>
        <v>56383.42680452675</v>
      </c>
      <c r="I35" s="27">
        <f>+SUM('Income Statement'!Q43:S43)</f>
        <v>43955.399999999994</v>
      </c>
      <c r="J35" s="28">
        <f>+SUM('Income Statement'!T43:V43)</f>
        <v>43955.399999999994</v>
      </c>
      <c r="K35" s="28">
        <f>+SUM('Income Statement'!W43:Y43)</f>
        <v>43955.399999999994</v>
      </c>
      <c r="L35" s="29">
        <f>+SUM('Income Statement'!Z43:AB43)</f>
        <v>43955.399999999994</v>
      </c>
      <c r="M35" s="203">
        <f>+SUM(I35:L35)</f>
        <v>175821.59999999998</v>
      </c>
      <c r="N35" s="27">
        <f>+SUM('Income Statement'!AC43:AE43)</f>
        <v>76205.71018518516</v>
      </c>
      <c r="O35" s="28">
        <f>+SUM('Income Statement'!AF43:AH43)</f>
        <v>76205.71018518516</v>
      </c>
      <c r="P35" s="28">
        <f>+SUM('Income Statement'!AI43:AK43)</f>
        <v>76205.71018518516</v>
      </c>
      <c r="Q35" s="29">
        <f>+SUM('Income Statement'!AL43:AN43)</f>
        <v>76205.71018518516</v>
      </c>
      <c r="R35" s="203">
        <f>+SUM(N35:Q35)</f>
        <v>304822.84074074065</v>
      </c>
      <c r="S35" s="27">
        <f>+SUM('Income Statement'!AO43:AQ43)</f>
        <v>78234.97777777776</v>
      </c>
      <c r="T35" s="28">
        <f>+SUM('Income Statement'!AR43:AT43)</f>
        <v>78234.97777777776</v>
      </c>
      <c r="U35" s="28">
        <f>+SUM('Income Statement'!AU43:AW43)</f>
        <v>78234.97777777776</v>
      </c>
      <c r="V35" s="29">
        <f>+SUM('Income Statement'!AX43:AZ43)</f>
        <v>78234.97777777776</v>
      </c>
      <c r="W35" s="203">
        <f>+SUM(S35:V35)</f>
        <v>312939.91111111105</v>
      </c>
      <c r="X35" s="27">
        <f>+SUM('Income Statement'!BA43:BC43)</f>
        <v>95302.37962962962</v>
      </c>
      <c r="Y35" s="28">
        <f>+SUM('Income Statement'!BD43:BF43)</f>
        <v>95302.37962962962</v>
      </c>
      <c r="Z35" s="28">
        <f>+SUM('Income Statement'!BG43:BI43)</f>
        <v>95302.37962962962</v>
      </c>
      <c r="AA35" s="29">
        <f>+SUM('Income Statement'!BJ43:BL43)</f>
        <v>95302.37962962962</v>
      </c>
      <c r="AB35" s="203">
        <f>+SUM(X35:AA35)</f>
        <v>381209.5185185185</v>
      </c>
    </row>
    <row r="36" spans="2:31" s="36" customFormat="1" ht="15.75">
      <c r="B36" s="32" t="s">
        <v>3</v>
      </c>
      <c r="C36" s="309">
        <f aca="true" t="shared" si="19" ref="C36:AB36">+C17-C31-C24</f>
        <v>-8573</v>
      </c>
      <c r="D36" s="33">
        <f t="shared" si="19"/>
        <v>-11766.475244032928</v>
      </c>
      <c r="E36" s="34">
        <f t="shared" si="19"/>
        <v>-5530.250562962963</v>
      </c>
      <c r="F36" s="34">
        <f t="shared" si="19"/>
        <v>-10278.115812345679</v>
      </c>
      <c r="G36" s="35">
        <f t="shared" si="19"/>
        <v>-37054.492685185185</v>
      </c>
      <c r="H36" s="309">
        <f t="shared" si="19"/>
        <v>-64629.334304526754</v>
      </c>
      <c r="I36" s="33">
        <f t="shared" si="19"/>
        <v>-29000.827999999994</v>
      </c>
      <c r="J36" s="34">
        <f t="shared" si="19"/>
        <v>-17774.02799999999</v>
      </c>
      <c r="K36" s="34">
        <f t="shared" si="19"/>
        <v>-7822.883499999989</v>
      </c>
      <c r="L36" s="862">
        <f t="shared" si="19"/>
        <v>761.7810000000027</v>
      </c>
      <c r="M36" s="309">
        <f t="shared" si="19"/>
        <v>-53835.95849999995</v>
      </c>
      <c r="N36" s="33">
        <f t="shared" si="19"/>
        <v>-9704.862685185159</v>
      </c>
      <c r="O36" s="34">
        <f t="shared" si="19"/>
        <v>1103.3940648148418</v>
      </c>
      <c r="P36" s="34">
        <f t="shared" si="19"/>
        <v>14185.81081481486</v>
      </c>
      <c r="Q36" s="35">
        <f t="shared" si="19"/>
        <v>29352.81531481484</v>
      </c>
      <c r="R36" s="309">
        <f t="shared" si="19"/>
        <v>34937.157509259356</v>
      </c>
      <c r="S36" s="33">
        <f t="shared" si="19"/>
        <v>54259.70447222228</v>
      </c>
      <c r="T36" s="34">
        <f t="shared" si="19"/>
        <v>75402.74572222232</v>
      </c>
      <c r="U36" s="34">
        <f t="shared" si="19"/>
        <v>114730.2289722223</v>
      </c>
      <c r="V36" s="865">
        <f t="shared" si="19"/>
        <v>143977.7502222223</v>
      </c>
      <c r="W36" s="309">
        <f t="shared" si="19"/>
        <v>388370.4293888892</v>
      </c>
      <c r="X36" s="33">
        <f t="shared" si="19"/>
        <v>172523.22767037037</v>
      </c>
      <c r="Y36" s="34">
        <f t="shared" si="19"/>
        <v>213386.89792037045</v>
      </c>
      <c r="Z36" s="34">
        <f t="shared" si="19"/>
        <v>276959.79842037044</v>
      </c>
      <c r="AA36" s="35">
        <f t="shared" si="19"/>
        <v>334124.52867037046</v>
      </c>
      <c r="AB36" s="309">
        <f t="shared" si="19"/>
        <v>996994.4526814818</v>
      </c>
      <c r="AE36" s="479"/>
    </row>
    <row r="37" spans="2:28" ht="15.75" outlineLevel="1">
      <c r="B37" s="19" t="s">
        <v>48</v>
      </c>
      <c r="C37" s="46">
        <f>+'Income Statement'!D69</f>
        <v>17641</v>
      </c>
      <c r="D37" s="24">
        <f>+SUM('Income Statement'!E69:G69)</f>
        <v>4560.25</v>
      </c>
      <c r="E37" s="23">
        <f>SUM('Income Statement'!H69:J69)</f>
        <v>4560.25</v>
      </c>
      <c r="F37" s="23">
        <f>+SUM('Income Statement'!K69:M69)</f>
        <v>4560.25</v>
      </c>
      <c r="G37" s="25">
        <f>+SUM('Income Statement'!N69:P69)</f>
        <v>5060.25</v>
      </c>
      <c r="H37" s="46">
        <f aca="true" t="shared" si="20" ref="H37:H38">SUM(D37:G37)</f>
        <v>18741</v>
      </c>
      <c r="I37" s="24">
        <f>+SUM('Income Statement'!Q69:S69)</f>
        <v>6489.745679012347</v>
      </c>
      <c r="J37" s="23">
        <f>SUM('Income Statement'!T69:V69)</f>
        <v>6833.989197530865</v>
      </c>
      <c r="K37" s="23">
        <f>+SUM('Income Statement'!W69:Y69)</f>
        <v>7178.232716049383</v>
      </c>
      <c r="L37" s="25">
        <f>+SUM('Income Statement'!Z69:AB69)</f>
        <v>7522.476234567903</v>
      </c>
      <c r="M37" s="46">
        <f>SUM(I37:L37)</f>
        <v>28024.443827160496</v>
      </c>
      <c r="N37" s="24">
        <f>+SUM('Income Statement'!AC69:AE69)</f>
        <v>9846.215432098767</v>
      </c>
      <c r="O37" s="23">
        <f>SUM('Income Statement'!AF69:AH69)</f>
        <v>10534.702469135802</v>
      </c>
      <c r="P37" s="23">
        <f>+SUM('Income Statement'!AI69:AK69)</f>
        <v>11223.189506172841</v>
      </c>
      <c r="Q37" s="25">
        <f>+SUM('Income Statement'!AL69:AN69)</f>
        <v>11911.676543209876</v>
      </c>
      <c r="R37" s="46">
        <f aca="true" t="shared" si="21" ref="R37:R38">SUM(N37:Q37)</f>
        <v>43515.78395061729</v>
      </c>
      <c r="S37" s="24">
        <f>+SUM('Income Statement'!AO69:AQ69)</f>
        <v>14900.163580246912</v>
      </c>
      <c r="T37" s="23">
        <f>SUM('Income Statement'!AR69:AT69)</f>
        <v>15734.68061728395</v>
      </c>
      <c r="U37" s="23">
        <f>+SUM('Income Statement'!AU69:AW69)</f>
        <v>16277.137654320983</v>
      </c>
      <c r="V37" s="25">
        <f>+SUM('Income Statement'!AX69:AZ69)</f>
        <v>16965.62469135802</v>
      </c>
      <c r="W37" s="46">
        <f aca="true" t="shared" si="22" ref="W37:W38">SUM(S37:V37)</f>
        <v>63877.60654320987</v>
      </c>
      <c r="X37" s="24">
        <f>+SUM('Income Statement'!BA69:BC69)</f>
        <v>20004.11172839506</v>
      </c>
      <c r="Y37" s="23">
        <f>SUM('Income Statement'!BD69:BF69)</f>
        <v>20692.5987654321</v>
      </c>
      <c r="Z37" s="23">
        <f>+SUM('Income Statement'!BG69:BI69)</f>
        <v>21381.085802469137</v>
      </c>
      <c r="AA37" s="25">
        <f>+SUM('Income Statement'!BJ69:BL69)</f>
        <v>22069.572839506174</v>
      </c>
      <c r="AB37" s="46">
        <f>SUM(X37:AA37)</f>
        <v>84147.36913580247</v>
      </c>
    </row>
    <row r="38" spans="2:28" ht="15.75" outlineLevel="1">
      <c r="B38" s="19" t="s">
        <v>16</v>
      </c>
      <c r="C38" s="46">
        <f>+'Income Statement'!D70</f>
        <v>0</v>
      </c>
      <c r="D38" s="24">
        <f>+SUM('Income Statement'!E70:G70)</f>
        <v>0</v>
      </c>
      <c r="E38" s="23">
        <f>SUM('Income Statement'!H70:J70)</f>
        <v>0</v>
      </c>
      <c r="F38" s="23">
        <f>+SUM('Income Statement'!K70:M70)</f>
        <v>0</v>
      </c>
      <c r="G38" s="25">
        <f>+SUM('Income Statement'!N70:P70)</f>
        <v>0</v>
      </c>
      <c r="H38" s="46">
        <f t="shared" si="20"/>
        <v>0</v>
      </c>
      <c r="I38" s="24">
        <f>+SUM('Income Statement'!Q70:S70)</f>
        <v>0</v>
      </c>
      <c r="J38" s="23">
        <f>SUM('Income Statement'!T70:V70)</f>
        <v>0</v>
      </c>
      <c r="K38" s="23">
        <f>+SUM('Income Statement'!W70:Y70)</f>
        <v>0</v>
      </c>
      <c r="L38" s="25">
        <f>+SUM('Income Statement'!Z70:AB70)</f>
        <v>0</v>
      </c>
      <c r="M38" s="46">
        <f>SUM(I38:L38)</f>
        <v>0</v>
      </c>
      <c r="N38" s="24">
        <f>+SUM('Income Statement'!AC70:AE70)</f>
        <v>0</v>
      </c>
      <c r="O38" s="23">
        <f>SUM('Income Statement'!AF70:AH70)</f>
        <v>0</v>
      </c>
      <c r="P38" s="23">
        <f>+SUM('Income Statement'!AI70:AK70)</f>
        <v>0</v>
      </c>
      <c r="Q38" s="25">
        <f>+SUM('Income Statement'!AL70:AN70)</f>
        <v>0</v>
      </c>
      <c r="R38" s="46">
        <f t="shared" si="21"/>
        <v>0</v>
      </c>
      <c r="S38" s="24">
        <f>+SUM('Income Statement'!AO70:AQ70)</f>
        <v>0</v>
      </c>
      <c r="T38" s="23">
        <f>SUM('Income Statement'!AR70:AT70)</f>
        <v>0</v>
      </c>
      <c r="U38" s="23">
        <f>+SUM('Income Statement'!AU70:AW70)</f>
        <v>0</v>
      </c>
      <c r="V38" s="25">
        <f>+SUM('Income Statement'!AX70:AZ70)</f>
        <v>0</v>
      </c>
      <c r="W38" s="46">
        <f t="shared" si="22"/>
        <v>0</v>
      </c>
      <c r="X38" s="24">
        <f>+SUM('Income Statement'!BA70:BC70)</f>
        <v>0</v>
      </c>
      <c r="Y38" s="23">
        <f>SUM('Income Statement'!BD70:BF70)</f>
        <v>0</v>
      </c>
      <c r="Z38" s="23">
        <f>+SUM('Income Statement'!BG70:BI70)</f>
        <v>0</v>
      </c>
      <c r="AA38" s="25">
        <f>+SUM('Income Statement'!BJ70:BL70)</f>
        <v>0</v>
      </c>
      <c r="AB38" s="46">
        <f aca="true" t="shared" si="23" ref="AB38">SUM(X38:AA38)</f>
        <v>0</v>
      </c>
    </row>
    <row r="39" spans="2:28" ht="15.75" outlineLevel="1">
      <c r="B39" s="19" t="s">
        <v>17</v>
      </c>
      <c r="C39" s="46">
        <f>+'Income Statement'!D71</f>
        <v>17153</v>
      </c>
      <c r="D39" s="24">
        <f>+SUM('Income Statement'!E71:G71)</f>
        <v>0</v>
      </c>
      <c r="E39" s="23">
        <f>SUM('Income Statement'!H71:J71)</f>
        <v>0</v>
      </c>
      <c r="F39" s="23">
        <f>+SUM('Income Statement'!K71:M71)</f>
        <v>0</v>
      </c>
      <c r="G39" s="25">
        <f>+SUM('Income Statement'!N71:P71)</f>
        <v>0</v>
      </c>
      <c r="H39" s="46">
        <f>SUM(D39:G39)</f>
        <v>0</v>
      </c>
      <c r="I39" s="24">
        <f>+SUM('Income Statement'!Q71:S71)</f>
        <v>0</v>
      </c>
      <c r="J39" s="23">
        <f>SUM('Income Statement'!T71:V71)</f>
        <v>0</v>
      </c>
      <c r="K39" s="23">
        <f>+SUM('Income Statement'!W71:Y71)</f>
        <v>0</v>
      </c>
      <c r="L39" s="25">
        <f>+SUM('Income Statement'!Z71:AB71)</f>
        <v>0</v>
      </c>
      <c r="M39" s="46">
        <f>SUM(I39:L39)</f>
        <v>0</v>
      </c>
      <c r="N39" s="24">
        <f>+SUM('Income Statement'!AC71:AE71)</f>
        <v>0</v>
      </c>
      <c r="O39" s="23">
        <f>SUM('Income Statement'!AF71:AH71)</f>
        <v>0</v>
      </c>
      <c r="P39" s="23">
        <f>+SUM('Income Statement'!AI71:AK71)</f>
        <v>0</v>
      </c>
      <c r="Q39" s="25">
        <f>+SUM('Income Statement'!AL71:AN71)</f>
        <v>0</v>
      </c>
      <c r="R39" s="46">
        <f>SUM(N39:Q39)</f>
        <v>0</v>
      </c>
      <c r="S39" s="24">
        <f>+SUM('Income Statement'!AO71:AQ71)</f>
        <v>0</v>
      </c>
      <c r="T39" s="23">
        <f>SUM('Income Statement'!AR71:AT71)</f>
        <v>0</v>
      </c>
      <c r="U39" s="23">
        <f>+SUM('Income Statement'!AU71:AW71)</f>
        <v>0</v>
      </c>
      <c r="V39" s="25">
        <f>+SUM('Income Statement'!AX71:AZ71)</f>
        <v>0</v>
      </c>
      <c r="W39" s="46">
        <f>SUM(S39:V39)</f>
        <v>0</v>
      </c>
      <c r="X39" s="24">
        <f>+SUM('Income Statement'!BA71:BC71)</f>
        <v>0</v>
      </c>
      <c r="Y39" s="23">
        <f>SUM('Income Statement'!BD71:BF71)</f>
        <v>0</v>
      </c>
      <c r="Z39" s="23">
        <f>+SUM('Income Statement'!BG71:BI71)</f>
        <v>0</v>
      </c>
      <c r="AA39" s="25">
        <f>+SUM('Income Statement'!BJ71:BL71)</f>
        <v>0</v>
      </c>
      <c r="AB39" s="46">
        <f>SUM(X39:AA39)</f>
        <v>0</v>
      </c>
    </row>
    <row r="40" spans="2:28" s="37" customFormat="1" ht="15.75">
      <c r="B40" s="32" t="s">
        <v>14</v>
      </c>
      <c r="C40" s="309">
        <f>+C36-C37+C38+C39</f>
        <v>-9061</v>
      </c>
      <c r="D40" s="33">
        <f>+D36-D37+D38+D39</f>
        <v>-16326.725244032928</v>
      </c>
      <c r="E40" s="34">
        <f aca="true" t="shared" si="24" ref="E40:AB40">+E36-E37+E38+E39</f>
        <v>-10090.500562962963</v>
      </c>
      <c r="F40" s="34">
        <f t="shared" si="24"/>
        <v>-14838.365812345679</v>
      </c>
      <c r="G40" s="35">
        <f t="shared" si="24"/>
        <v>-42114.742685185185</v>
      </c>
      <c r="H40" s="309">
        <f>+H36-H37+H38+H39</f>
        <v>-83370.33430452675</v>
      </c>
      <c r="I40" s="33">
        <f t="shared" si="24"/>
        <v>-35490.57367901234</v>
      </c>
      <c r="J40" s="34">
        <f t="shared" si="24"/>
        <v>-24608.017197530855</v>
      </c>
      <c r="K40" s="34">
        <f t="shared" si="24"/>
        <v>-15001.116216049373</v>
      </c>
      <c r="L40" s="35">
        <f t="shared" si="24"/>
        <v>-6760.6952345679</v>
      </c>
      <c r="M40" s="309">
        <f t="shared" si="24"/>
        <v>-81860.40232716044</v>
      </c>
      <c r="N40" s="33">
        <f t="shared" si="24"/>
        <v>-19551.078117283927</v>
      </c>
      <c r="O40" s="34">
        <f t="shared" si="24"/>
        <v>-9431.30840432096</v>
      </c>
      <c r="P40" s="34">
        <f t="shared" si="24"/>
        <v>2962.6213086420194</v>
      </c>
      <c r="Q40" s="35">
        <f t="shared" si="24"/>
        <v>17441.138771604965</v>
      </c>
      <c r="R40" s="309">
        <f t="shared" si="24"/>
        <v>-8578.626441357934</v>
      </c>
      <c r="S40" s="33">
        <f t="shared" si="24"/>
        <v>39359.54089197537</v>
      </c>
      <c r="T40" s="34">
        <f t="shared" si="24"/>
        <v>59668.06510493837</v>
      </c>
      <c r="U40" s="34">
        <f t="shared" si="24"/>
        <v>98453.09131790133</v>
      </c>
      <c r="V40" s="35">
        <f t="shared" si="24"/>
        <v>127012.12553086427</v>
      </c>
      <c r="W40" s="309">
        <f t="shared" si="24"/>
        <v>324492.82284567936</v>
      </c>
      <c r="X40" s="33">
        <f t="shared" si="24"/>
        <v>152519.11594197532</v>
      </c>
      <c r="Y40" s="34">
        <f t="shared" si="24"/>
        <v>192694.29915493834</v>
      </c>
      <c r="Z40" s="34">
        <f t="shared" si="24"/>
        <v>255578.7126179013</v>
      </c>
      <c r="AA40" s="35">
        <f t="shared" si="24"/>
        <v>312054.95583086426</v>
      </c>
      <c r="AB40" s="309">
        <f t="shared" si="24"/>
        <v>912847.0835456793</v>
      </c>
    </row>
    <row r="41" spans="2:28" ht="15.75" outlineLevel="1">
      <c r="B41" s="19" t="s">
        <v>18</v>
      </c>
      <c r="C41" s="46">
        <f>+'Income Statement'!D73</f>
        <v>0</v>
      </c>
      <c r="D41" s="24">
        <f>+SUM('Income Statement'!E73:G73)</f>
        <v>0</v>
      </c>
      <c r="E41" s="23">
        <f>SUM('Income Statement'!H73:J73)</f>
        <v>5.166666666666667</v>
      </c>
      <c r="F41" s="23">
        <f>+SUM('Income Statement'!K73:M73)</f>
        <v>15.5</v>
      </c>
      <c r="G41" s="25">
        <f>+SUM('Income Statement'!N73:P73)</f>
        <v>15.5</v>
      </c>
      <c r="H41" s="46">
        <f>SUM(D41:G41)</f>
        <v>36.16666666666667</v>
      </c>
      <c r="I41" s="24">
        <f>+SUM('Income Statement'!Q73:S73)</f>
        <v>15.5</v>
      </c>
      <c r="J41" s="23">
        <f>SUM('Income Statement'!T73:V73)</f>
        <v>15.5</v>
      </c>
      <c r="K41" s="23">
        <f>+SUM('Income Statement'!W73:Y73)</f>
        <v>15.5</v>
      </c>
      <c r="L41" s="25">
        <f>+SUM('Income Statement'!Z73:AB73)</f>
        <v>15.5</v>
      </c>
      <c r="M41" s="46">
        <f>SUM(I41:L41)</f>
        <v>62</v>
      </c>
      <c r="N41" s="24">
        <f>+SUM('Income Statement'!AC73:AE73)</f>
        <v>15.5</v>
      </c>
      <c r="O41" s="23">
        <f>SUM('Income Statement'!AF73:AH73)</f>
        <v>15.5</v>
      </c>
      <c r="P41" s="23">
        <f>+SUM('Income Statement'!AI73:AK73)</f>
        <v>14.86637630955037</v>
      </c>
      <c r="Q41" s="25">
        <f>+SUM('Income Statement'!AL73:AN73)</f>
        <v>13.914091421040961</v>
      </c>
      <c r="R41" s="46">
        <f>SUM(N41:Q41)</f>
        <v>59.780467730591326</v>
      </c>
      <c r="S41" s="24">
        <f>+SUM('Income Statement'!AO73:AQ73)</f>
        <v>12.959423835832332</v>
      </c>
      <c r="T41" s="23">
        <f>SUM('Income Statement'!AR73:AT73)</f>
        <v>12.002367592217414</v>
      </c>
      <c r="U41" s="23">
        <f>+SUM('Income Statement'!AU73:AW73)</f>
        <v>11.042916713572433</v>
      </c>
      <c r="V41" s="25">
        <f>+SUM('Income Statement'!AX73:AZ73)</f>
        <v>10.0810652083196</v>
      </c>
      <c r="W41" s="46">
        <f>SUM(S41:V41)</f>
        <v>46.08577334994178</v>
      </c>
      <c r="X41" s="24">
        <f>+SUM('Income Statement'!BA73:BC73)</f>
        <v>9.116807069889706</v>
      </c>
      <c r="Y41" s="23">
        <f>SUM('Income Statement'!BD73:BF73)</f>
        <v>8.150136276684599</v>
      </c>
      <c r="Z41" s="23">
        <f>+SUM('Income Statement'!BG73:BI73)</f>
        <v>7.1810467920395755</v>
      </c>
      <c r="AA41" s="25">
        <f>+SUM('Income Statement'!BJ73:BL73)</f>
        <v>6.209532564185697</v>
      </c>
      <c r="AB41" s="46">
        <f>SUM(X41:AA41)</f>
        <v>30.65752270279958</v>
      </c>
    </row>
    <row r="42" spans="2:28" s="39" customFormat="1" ht="15.75">
      <c r="B42" s="38" t="s">
        <v>15</v>
      </c>
      <c r="C42" s="309">
        <f>+C40-C41</f>
        <v>-9061</v>
      </c>
      <c r="D42" s="33">
        <f aca="true" t="shared" si="25" ref="D42:F42">+D40-D41</f>
        <v>-16326.725244032928</v>
      </c>
      <c r="E42" s="34">
        <f t="shared" si="25"/>
        <v>-10095.66722962963</v>
      </c>
      <c r="F42" s="34">
        <f t="shared" si="25"/>
        <v>-14853.865812345679</v>
      </c>
      <c r="G42" s="35">
        <f aca="true" t="shared" si="26" ref="G42">+G40-G41</f>
        <v>-42130.242685185185</v>
      </c>
      <c r="H42" s="309">
        <f>+H40-H41</f>
        <v>-83406.50097119343</v>
      </c>
      <c r="I42" s="33">
        <f aca="true" t="shared" si="27" ref="I42:L42">+I40-I41</f>
        <v>-35506.07367901234</v>
      </c>
      <c r="J42" s="34">
        <f t="shared" si="27"/>
        <v>-24623.517197530855</v>
      </c>
      <c r="K42" s="34">
        <f t="shared" si="27"/>
        <v>-15016.616216049373</v>
      </c>
      <c r="L42" s="35">
        <f t="shared" si="27"/>
        <v>-6776.1952345679</v>
      </c>
      <c r="M42" s="309">
        <f>+M40-M41</f>
        <v>-81922.40232716044</v>
      </c>
      <c r="N42" s="33">
        <f aca="true" t="shared" si="28" ref="N42:Q42">+N40-N41</f>
        <v>-19566.578117283927</v>
      </c>
      <c r="O42" s="34">
        <f t="shared" si="28"/>
        <v>-9446.80840432096</v>
      </c>
      <c r="P42" s="34">
        <f t="shared" si="28"/>
        <v>2947.754932332469</v>
      </c>
      <c r="Q42" s="35">
        <f t="shared" si="28"/>
        <v>17427.224680183925</v>
      </c>
      <c r="R42" s="309">
        <f>+R40-R41</f>
        <v>-8638.406909088526</v>
      </c>
      <c r="S42" s="33">
        <f aca="true" t="shared" si="29" ref="S42:V42">+S40-S41</f>
        <v>39346.581468139535</v>
      </c>
      <c r="T42" s="34">
        <f t="shared" si="29"/>
        <v>59656.06273734615</v>
      </c>
      <c r="U42" s="34">
        <f t="shared" si="29"/>
        <v>98442.04840118776</v>
      </c>
      <c r="V42" s="35">
        <f t="shared" si="29"/>
        <v>127002.04446565596</v>
      </c>
      <c r="W42" s="309">
        <f>+W40-W41</f>
        <v>324446.73707232944</v>
      </c>
      <c r="X42" s="33">
        <f aca="true" t="shared" si="30" ref="X42:AA42">+X40-X41</f>
        <v>152509.99913490543</v>
      </c>
      <c r="Y42" s="34">
        <f t="shared" si="30"/>
        <v>192686.14901866167</v>
      </c>
      <c r="Z42" s="34">
        <f t="shared" si="30"/>
        <v>255571.53157110926</v>
      </c>
      <c r="AA42" s="35">
        <f t="shared" si="30"/>
        <v>312048.7462983001</v>
      </c>
      <c r="AB42" s="309">
        <f>+AB40-AB41</f>
        <v>912816.4260229765</v>
      </c>
    </row>
    <row r="43" spans="2:28" ht="15.75">
      <c r="B43" s="19" t="s">
        <v>20</v>
      </c>
      <c r="C43" s="46">
        <f>+'Balance Sheet'!S44</f>
        <v>0</v>
      </c>
      <c r="D43" s="24">
        <f>+IF($H$42&gt;0,D42*30%,0)</f>
        <v>0</v>
      </c>
      <c r="E43" s="23">
        <f aca="true" t="shared" si="31" ref="E43:G43">+IF($H$42&gt;0,E42*30%,0)</f>
        <v>0</v>
      </c>
      <c r="F43" s="23">
        <f t="shared" si="31"/>
        <v>0</v>
      </c>
      <c r="G43" s="25">
        <f t="shared" si="31"/>
        <v>0</v>
      </c>
      <c r="H43" s="46">
        <f aca="true" t="shared" si="32" ref="H43">+IF($H$42&gt;0,H42*30%,0)</f>
        <v>0</v>
      </c>
      <c r="I43" s="24">
        <f>+IF($M$42&gt;0,I42*30%,0)</f>
        <v>0</v>
      </c>
      <c r="J43" s="23">
        <f>+IF($M$42&gt;0,J42*30%,0)</f>
        <v>0</v>
      </c>
      <c r="K43" s="23">
        <f aca="true" t="shared" si="33" ref="K43:L43">+IF($M$42&gt;0,K42*30%,0)</f>
        <v>0</v>
      </c>
      <c r="L43" s="25">
        <f t="shared" si="33"/>
        <v>0</v>
      </c>
      <c r="M43" s="46">
        <f>+IF($M$42&gt;0,M42*30%,0)</f>
        <v>0</v>
      </c>
      <c r="N43" s="24">
        <f>+IF($R$42&gt;0,N42*30%,0)</f>
        <v>0</v>
      </c>
      <c r="O43" s="23">
        <f aca="true" t="shared" si="34" ref="O43:R43">+IF($R$42&gt;0,O42*30%,0)</f>
        <v>0</v>
      </c>
      <c r="P43" s="23">
        <f t="shared" si="34"/>
        <v>0</v>
      </c>
      <c r="Q43" s="25">
        <f t="shared" si="34"/>
        <v>0</v>
      </c>
      <c r="R43" s="46">
        <f t="shared" si="34"/>
        <v>0</v>
      </c>
      <c r="S43" s="24">
        <f>+IF($W$42&gt;0,S42*30%,0)</f>
        <v>11803.97444044186</v>
      </c>
      <c r="T43" s="23">
        <f aca="true" t="shared" si="35" ref="T43:W43">+IF($W$42&gt;0,T42*30%,0)</f>
        <v>17896.818821203844</v>
      </c>
      <c r="U43" s="23">
        <f t="shared" si="35"/>
        <v>29532.614520356325</v>
      </c>
      <c r="V43" s="25">
        <f t="shared" si="35"/>
        <v>38100.613339696785</v>
      </c>
      <c r="W43" s="46">
        <f t="shared" si="35"/>
        <v>97334.02112169882</v>
      </c>
      <c r="X43" s="24">
        <f>+IF($AB$42&gt;0,X42*30%,0)</f>
        <v>45752.99974047163</v>
      </c>
      <c r="Y43" s="23">
        <f aca="true" t="shared" si="36" ref="Y43:AA43">+IF($AB$42&gt;0,Y42*30%,0)</f>
        <v>57805.8447055985</v>
      </c>
      <c r="Z43" s="23">
        <f t="shared" si="36"/>
        <v>76671.45947133277</v>
      </c>
      <c r="AA43" s="25">
        <f t="shared" si="36"/>
        <v>93614.62388949003</v>
      </c>
      <c r="AB43" s="46">
        <f>+IF($AB$42&gt;0,AB42*30%,0)</f>
        <v>273844.92780689296</v>
      </c>
    </row>
    <row r="44" spans="2:28" s="39" customFormat="1" ht="15.75">
      <c r="B44" s="40" t="s">
        <v>12</v>
      </c>
      <c r="C44" s="204">
        <f>+C42-C43</f>
        <v>-9061</v>
      </c>
      <c r="D44" s="41">
        <f>+D42-D43</f>
        <v>-16326.725244032928</v>
      </c>
      <c r="E44" s="42">
        <f>+E42-E43</f>
        <v>-10095.66722962963</v>
      </c>
      <c r="F44" s="42">
        <f>+F42-F43</f>
        <v>-14853.865812345679</v>
      </c>
      <c r="G44" s="43">
        <f aca="true" t="shared" si="37" ref="G44">+G42-G43</f>
        <v>-42130.242685185185</v>
      </c>
      <c r="H44" s="204">
        <f>+H42-H43</f>
        <v>-83406.50097119343</v>
      </c>
      <c r="I44" s="41">
        <f aca="true" t="shared" si="38" ref="I44:J44">+I42-I43</f>
        <v>-35506.07367901234</v>
      </c>
      <c r="J44" s="42">
        <f t="shared" si="38"/>
        <v>-24623.517197530855</v>
      </c>
      <c r="K44" s="42">
        <f>+K42-K43</f>
        <v>-15016.616216049373</v>
      </c>
      <c r="L44" s="43">
        <f aca="true" t="shared" si="39" ref="L44">+L42-L43</f>
        <v>-6776.1952345679</v>
      </c>
      <c r="M44" s="204">
        <f>+M42-M43</f>
        <v>-81922.40232716044</v>
      </c>
      <c r="N44" s="41">
        <f aca="true" t="shared" si="40" ref="N44:O44">+N42-N43</f>
        <v>-19566.578117283927</v>
      </c>
      <c r="O44" s="42">
        <f t="shared" si="40"/>
        <v>-9446.80840432096</v>
      </c>
      <c r="P44" s="42">
        <f>+P42-P43</f>
        <v>2947.754932332469</v>
      </c>
      <c r="Q44" s="43">
        <f aca="true" t="shared" si="41" ref="Q44">+Q42-Q43</f>
        <v>17427.224680183925</v>
      </c>
      <c r="R44" s="204">
        <f>+R42-R43</f>
        <v>-8638.406909088526</v>
      </c>
      <c r="S44" s="41">
        <f aca="true" t="shared" si="42" ref="S44:T44">+S42-S43</f>
        <v>27542.607027697675</v>
      </c>
      <c r="T44" s="42">
        <f t="shared" si="42"/>
        <v>41759.2439161423</v>
      </c>
      <c r="U44" s="42">
        <f>+U42-U43</f>
        <v>68909.43388083144</v>
      </c>
      <c r="V44" s="43">
        <f aca="true" t="shared" si="43" ref="V44">+V42-V43</f>
        <v>88901.43112595918</v>
      </c>
      <c r="W44" s="204">
        <f>+W42-W43</f>
        <v>227112.7159506306</v>
      </c>
      <c r="X44" s="41">
        <f aca="true" t="shared" si="44" ref="X44:Y44">+X42-X43</f>
        <v>106756.9993944338</v>
      </c>
      <c r="Y44" s="42">
        <f t="shared" si="44"/>
        <v>134880.30431306316</v>
      </c>
      <c r="Z44" s="42">
        <f>+Z42-Z43</f>
        <v>178900.07209977647</v>
      </c>
      <c r="AA44" s="43">
        <f aca="true" t="shared" si="45" ref="AA44">+AA42-AA43</f>
        <v>218434.12240881007</v>
      </c>
      <c r="AB44" s="204">
        <f>+AB42-AB43</f>
        <v>638971.4982160835</v>
      </c>
    </row>
    <row r="45" spans="2:28" ht="15.75">
      <c r="B45" s="223"/>
      <c r="C45" s="2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3:27" ht="15.75">
      <c r="C46" s="494"/>
      <c r="D46" s="15"/>
      <c r="E46" s="15"/>
      <c r="F46" s="15"/>
      <c r="G46" s="15"/>
      <c r="H46" s="15"/>
      <c r="I46" s="15"/>
      <c r="J46" s="15"/>
      <c r="K46" s="15"/>
      <c r="L46" s="15"/>
      <c r="M46" s="15"/>
      <c r="N46" s="15"/>
      <c r="O46" s="15"/>
      <c r="P46" s="15"/>
      <c r="Q46" s="15"/>
      <c r="R46" s="15"/>
      <c r="S46" s="15"/>
      <c r="T46" s="15"/>
      <c r="U46" s="15"/>
      <c r="V46" s="15"/>
      <c r="W46" s="15"/>
      <c r="X46" s="15"/>
      <c r="Y46" s="15"/>
      <c r="Z46" s="15"/>
      <c r="AA46" s="15"/>
    </row>
    <row r="47" spans="1:28" ht="15.75">
      <c r="A47" s="5">
        <v>3</v>
      </c>
      <c r="B47" s="45" t="s">
        <v>22</v>
      </c>
      <c r="C47" s="472"/>
      <c r="D47" s="298"/>
      <c r="I47" s="298"/>
      <c r="N47" s="298"/>
      <c r="S47" s="298"/>
      <c r="AB47" s="494"/>
    </row>
    <row r="48" spans="4:19" ht="15.75">
      <c r="D48" s="129"/>
      <c r="I48" s="129"/>
      <c r="N48" s="129"/>
      <c r="S48" s="129"/>
    </row>
    <row r="49" spans="2:28" ht="15.75">
      <c r="B49" s="16"/>
      <c r="C49" s="1497">
        <f>+C15</f>
        <v>2019</v>
      </c>
      <c r="D49" s="1494">
        <f>+D15</f>
        <v>2020</v>
      </c>
      <c r="E49" s="1495"/>
      <c r="F49" s="1495"/>
      <c r="G49" s="1496"/>
      <c r="H49" s="1497">
        <f>+D49</f>
        <v>2020</v>
      </c>
      <c r="I49" s="1494">
        <f>1+D49</f>
        <v>2021</v>
      </c>
      <c r="J49" s="1495"/>
      <c r="K49" s="1495"/>
      <c r="L49" s="1496"/>
      <c r="M49" s="1497">
        <f>+I49</f>
        <v>2021</v>
      </c>
      <c r="N49" s="1494">
        <f>1+I49</f>
        <v>2022</v>
      </c>
      <c r="O49" s="1495"/>
      <c r="P49" s="1495"/>
      <c r="Q49" s="1496"/>
      <c r="R49" s="1497">
        <f>+N49</f>
        <v>2022</v>
      </c>
      <c r="S49" s="1494">
        <f>1+N49</f>
        <v>2023</v>
      </c>
      <c r="T49" s="1495"/>
      <c r="U49" s="1495"/>
      <c r="V49" s="1496"/>
      <c r="W49" s="1497">
        <f>+S49</f>
        <v>2023</v>
      </c>
      <c r="X49" s="1494">
        <f>1+S49</f>
        <v>2024</v>
      </c>
      <c r="Y49" s="1495"/>
      <c r="Z49" s="1495"/>
      <c r="AA49" s="1496"/>
      <c r="AB49" s="1497">
        <f>+X49</f>
        <v>2024</v>
      </c>
    </row>
    <row r="50" spans="2:28" s="18" customFormat="1" ht="15.75">
      <c r="B50" s="17"/>
      <c r="C50" s="1498"/>
      <c r="D50" s="311" t="s">
        <v>4</v>
      </c>
      <c r="E50" s="132" t="s">
        <v>5</v>
      </c>
      <c r="F50" s="132" t="s">
        <v>6</v>
      </c>
      <c r="G50" s="310" t="s">
        <v>7</v>
      </c>
      <c r="H50" s="1498"/>
      <c r="I50" s="311" t="s">
        <v>4</v>
      </c>
      <c r="J50" s="132" t="s">
        <v>5</v>
      </c>
      <c r="K50" s="132" t="s">
        <v>6</v>
      </c>
      <c r="L50" s="310" t="s">
        <v>7</v>
      </c>
      <c r="M50" s="1498"/>
      <c r="N50" s="311" t="s">
        <v>4</v>
      </c>
      <c r="O50" s="132" t="s">
        <v>5</v>
      </c>
      <c r="P50" s="132" t="s">
        <v>6</v>
      </c>
      <c r="Q50" s="310" t="s">
        <v>7</v>
      </c>
      <c r="R50" s="1498"/>
      <c r="S50" s="311" t="s">
        <v>4</v>
      </c>
      <c r="T50" s="132" t="s">
        <v>5</v>
      </c>
      <c r="U50" s="132" t="s">
        <v>6</v>
      </c>
      <c r="V50" s="310" t="s">
        <v>7</v>
      </c>
      <c r="W50" s="1498"/>
      <c r="X50" s="311" t="s">
        <v>4</v>
      </c>
      <c r="Y50" s="132" t="s">
        <v>5</v>
      </c>
      <c r="Z50" s="132" t="s">
        <v>6</v>
      </c>
      <c r="AA50" s="310" t="s">
        <v>7</v>
      </c>
      <c r="AB50" s="1498"/>
    </row>
    <row r="51" spans="2:28" ht="15.75">
      <c r="B51" s="19" t="s">
        <v>27</v>
      </c>
      <c r="C51" s="26">
        <f>+'Cash Flow Statement'!D5</f>
        <v>-9061</v>
      </c>
      <c r="D51" s="20">
        <f>+SUM('Cash Flow Statement'!E5:G5)</f>
        <v>-16326.725244032927</v>
      </c>
      <c r="E51" s="21">
        <f>+SUM('Cash Flow Statement'!H5:J5)</f>
        <v>-10090.500562962961</v>
      </c>
      <c r="F51" s="21">
        <f>+SUM('Cash Flow Statement'!K5:M5)</f>
        <v>-14838.36581234568</v>
      </c>
      <c r="G51" s="22">
        <f>+SUM('Cash Flow Statement'!N5:P5)</f>
        <v>-42114.742685185185</v>
      </c>
      <c r="H51" s="26">
        <f>+SUM(D51:G51)</f>
        <v>-83370.33430452675</v>
      </c>
      <c r="I51" s="20">
        <f>+SUM('Cash Flow Statement'!Q5:S5)</f>
        <v>-35490.57367901235</v>
      </c>
      <c r="J51" s="21">
        <f>+SUM('Cash Flow Statement'!T5:V5)</f>
        <v>-24608.01719753087</v>
      </c>
      <c r="K51" s="21">
        <f>+SUM('Cash Flow Statement'!W5:Y5)</f>
        <v>-15001.11621604939</v>
      </c>
      <c r="L51" s="22">
        <f>+SUM('Cash Flow Statement'!Z5:AB5)</f>
        <v>-6760.695234567915</v>
      </c>
      <c r="M51" s="26">
        <f>+SUM(I51:L51)</f>
        <v>-81860.40232716053</v>
      </c>
      <c r="N51" s="20">
        <f>+SUM('Cash Flow Statement'!AC5:AE5)</f>
        <v>-19551.078117283927</v>
      </c>
      <c r="O51" s="21">
        <f>+SUM('Cash Flow Statement'!AF5:AH5)</f>
        <v>-9431.30840432096</v>
      </c>
      <c r="P51" s="21">
        <f>+SUM('Cash Flow Statement'!AI5:AK5)</f>
        <v>2962.6213086420053</v>
      </c>
      <c r="Q51" s="22">
        <f>+SUM('Cash Flow Statement'!AL5:AN5)</f>
        <v>17441.138771604965</v>
      </c>
      <c r="R51" s="26">
        <f>+SUM(N51:Q51)</f>
        <v>-8578.626441357916</v>
      </c>
      <c r="S51" s="20">
        <f>+SUM('Cash Flow Statement'!AO5:AQ5)</f>
        <v>39359.540891975346</v>
      </c>
      <c r="T51" s="21">
        <f>+SUM('Cash Flow Statement'!AR5:AT5)</f>
        <v>59668.0651049383</v>
      </c>
      <c r="U51" s="21">
        <f>+SUM('Cash Flow Statement'!AU5:AW5)</f>
        <v>98453.09131790127</v>
      </c>
      <c r="V51" s="22">
        <f>+SUM('Cash Flow Statement'!AX5:AZ5)</f>
        <v>127012.12553086424</v>
      </c>
      <c r="W51" s="26">
        <f>+SUM(S51:V51)</f>
        <v>324492.8228456792</v>
      </c>
      <c r="X51" s="20">
        <f>+SUM('Cash Flow Statement'!BA5:BC5)</f>
        <v>152519.11594197532</v>
      </c>
      <c r="Y51" s="21">
        <f>+SUM('Cash Flow Statement'!BD5:BF5)</f>
        <v>192694.29915493832</v>
      </c>
      <c r="Z51" s="21">
        <f>+SUM('Cash Flow Statement'!BG5:BI5)</f>
        <v>158244.69149620243</v>
      </c>
      <c r="AA51" s="22">
        <f>+SUM('Cash Flow Statement'!BJ5:BL5)</f>
        <v>312054.9558308642</v>
      </c>
      <c r="AB51" s="26">
        <f>+SUM(X51:AA51)</f>
        <v>815513.0624239803</v>
      </c>
    </row>
    <row r="52" spans="2:28" ht="15.75">
      <c r="B52" s="47" t="s">
        <v>23</v>
      </c>
      <c r="C52" s="26">
        <f>+'Cash Flow Statement'!D6</f>
        <v>17641</v>
      </c>
      <c r="D52" s="24">
        <f>+SUM('Cash Flow Statement'!E6:G6)</f>
        <v>4560.25</v>
      </c>
      <c r="E52" s="23">
        <f>+SUM('Cash Flow Statement'!H6:J6)</f>
        <v>4560.25</v>
      </c>
      <c r="F52" s="23">
        <f>+SUM('Cash Flow Statement'!K6:M6)</f>
        <v>4560.25</v>
      </c>
      <c r="G52" s="25">
        <f>+SUM('Cash Flow Statement'!N6:P6)</f>
        <v>5060.25</v>
      </c>
      <c r="H52" s="26">
        <f>+SUM(D52:G52)</f>
        <v>18741</v>
      </c>
      <c r="I52" s="24">
        <f>+SUM('Cash Flow Statement'!Q6:S6)</f>
        <v>6489.745679012347</v>
      </c>
      <c r="J52" s="23">
        <f>+SUM('Cash Flow Statement'!T6:V6)</f>
        <v>6833.989197530865</v>
      </c>
      <c r="K52" s="23">
        <f>+SUM('Cash Flow Statement'!W6:Y6)</f>
        <v>7178.232716049383</v>
      </c>
      <c r="L52" s="25">
        <f>+SUM('Cash Flow Statement'!Z6:AB6)</f>
        <v>7522.476234567903</v>
      </c>
      <c r="M52" s="26">
        <f>+SUM(I52:L52)</f>
        <v>28024.443827160496</v>
      </c>
      <c r="N52" s="24">
        <f>+SUM('Cash Flow Statement'!AC6:AE6)</f>
        <v>9846.215432098767</v>
      </c>
      <c r="O52" s="23">
        <f>+SUM('Cash Flow Statement'!AF6:AH6)</f>
        <v>10534.702469135802</v>
      </c>
      <c r="P52" s="23">
        <f>+SUM('Cash Flow Statement'!AI6:AK6)</f>
        <v>11223.189506172841</v>
      </c>
      <c r="Q52" s="25">
        <f>+SUM('Cash Flow Statement'!AL6:AN6)</f>
        <v>11911.676543209876</v>
      </c>
      <c r="R52" s="26">
        <f>+SUM(N52:Q52)</f>
        <v>43515.78395061729</v>
      </c>
      <c r="S52" s="24">
        <f>+SUM('Cash Flow Statement'!AO6:AQ6)</f>
        <v>14900.163580246912</v>
      </c>
      <c r="T52" s="23">
        <f>+SUM('Cash Flow Statement'!AR6:AT6)</f>
        <v>15734.68061728395</v>
      </c>
      <c r="U52" s="23">
        <f>+SUM('Cash Flow Statement'!AU6:AW6)</f>
        <v>16277.137654320983</v>
      </c>
      <c r="V52" s="25">
        <f>+SUM('Cash Flow Statement'!AX6:AZ6)</f>
        <v>16965.62469135802</v>
      </c>
      <c r="W52" s="26">
        <f>+SUM(S52:V52)</f>
        <v>63877.60654320987</v>
      </c>
      <c r="X52" s="24">
        <f>+SUM('Cash Flow Statement'!BA6:BC6)</f>
        <v>20004.11172839506</v>
      </c>
      <c r="Y52" s="23">
        <f>+SUM('Cash Flow Statement'!BD6:BF6)</f>
        <v>20692.5987654321</v>
      </c>
      <c r="Z52" s="23">
        <f>+SUM('Cash Flow Statement'!BG6:BI6)</f>
        <v>21381.085802469137</v>
      </c>
      <c r="AA52" s="25">
        <f>+SUM('Cash Flow Statement'!BJ6:BL6)</f>
        <v>22069.572839506174</v>
      </c>
      <c r="AB52" s="26">
        <f>+SUM(X52:AA52)</f>
        <v>84147.36913580247</v>
      </c>
    </row>
    <row r="53" spans="2:28" ht="15.75">
      <c r="B53" s="47" t="s">
        <v>178</v>
      </c>
      <c r="C53" s="26">
        <f>+'Cash Flow Statement'!D7</f>
        <v>0</v>
      </c>
      <c r="D53" s="23">
        <f>+SUM('Cash Flow Statement'!E7:G7)</f>
        <v>1664.345833333333</v>
      </c>
      <c r="E53" s="23">
        <f>+SUM('Cash Flow Statement'!H7:J7)</f>
        <v>378.4429</v>
      </c>
      <c r="F53" s="23">
        <f>+SUM('Cash Flow Statement'!K7:M7)</f>
        <v>-488.27790000000005</v>
      </c>
      <c r="G53" s="23">
        <f>+SUM('Cash Flow Statement'!N7:P7)</f>
        <v>-425.3877833333336</v>
      </c>
      <c r="H53" s="26">
        <f>+SUM(D53:G53)</f>
        <v>1129.1230499999995</v>
      </c>
      <c r="I53" s="23">
        <f>+SUM('Cash Flow Statement'!Q7:S7)</f>
        <v>1983.6024633333254</v>
      </c>
      <c r="J53" s="23">
        <f>+SUM('Cash Flow Statement'!T7:V7)</f>
        <v>424.98170000001846</v>
      </c>
      <c r="K53" s="23">
        <f>+SUM('Cash Flow Statement'!W7:Y7)</f>
        <v>718.226794999995</v>
      </c>
      <c r="L53" s="23">
        <f>+SUM('Cash Flow Statement'!Z7:AB7)</f>
        <v>596.3775949999981</v>
      </c>
      <c r="M53" s="26">
        <f>+SUM(I53:L53)</f>
        <v>3723.188553333337</v>
      </c>
      <c r="N53" s="24">
        <f>+SUM('Cash Flow Statement'!AC7:AE7)</f>
        <v>1627.7350100000112</v>
      </c>
      <c r="O53" s="23">
        <f>+SUM('Cash Flow Statement'!AF7:AH7)</f>
        <v>817.8614950000192</v>
      </c>
      <c r="P53" s="23">
        <f>+SUM('Cash Flow Statement'!AI7:AK7)</f>
        <v>1030.135095000005</v>
      </c>
      <c r="Q53" s="25">
        <f>+SUM('Cash Flow Statement'!AL7:AN7)</f>
        <v>1133.6116000000184</v>
      </c>
      <c r="R53" s="26">
        <f>+SUM(N53:Q53)</f>
        <v>4609.343200000054</v>
      </c>
      <c r="S53" s="24">
        <f>+SUM('Cash Flow Statement'!AO7:AQ7)</f>
        <v>2053.41906</v>
      </c>
      <c r="T53" s="23">
        <f>+SUM('Cash Flow Statement'!AR7:AT7)</f>
        <v>1640.7081899999757</v>
      </c>
      <c r="U53" s="23">
        <f>+SUM('Cash Flow Statement'!AU7:AW7)</f>
        <v>3012.5256699999736</v>
      </c>
      <c r="V53" s="25">
        <f>+SUM('Cash Flow Statement'!AX7:AZ7)</f>
        <v>2233.376694999999</v>
      </c>
      <c r="W53" s="26">
        <f>+SUM(S53:V53)</f>
        <v>8940.029614999949</v>
      </c>
      <c r="X53" s="24">
        <f>+SUM('Cash Flow Statement'!BA7:BC7)</f>
        <v>3507.3875136667193</v>
      </c>
      <c r="Y53" s="23">
        <f>+SUM('Cash Flow Statement'!BD7:BF7)</f>
        <v>3162.5432849999925</v>
      </c>
      <c r="Z53" s="23">
        <f>+SUM('Cash Flow Statement'!BG7:BI7)</f>
        <v>4861.727805000002</v>
      </c>
      <c r="AA53" s="25">
        <f>+SUM('Cash Flow Statement'!BJ7:BL7)</f>
        <v>4435.291684999975</v>
      </c>
      <c r="AB53" s="26">
        <f>+SUM(X53:AA53)</f>
        <v>15966.950288666689</v>
      </c>
    </row>
    <row r="54" spans="2:28" ht="15.75">
      <c r="B54" s="47" t="s">
        <v>166</v>
      </c>
      <c r="C54" s="26">
        <f>+'Cash Flow Statement'!D8</f>
        <v>0</v>
      </c>
      <c r="D54" s="24">
        <f>+SUM('Cash Flow Statement'!E8:G8)</f>
        <v>332.798353909465</v>
      </c>
      <c r="E54" s="23">
        <f>+SUM('Cash Flow Statement'!H8:J8)</f>
        <v>250.962962962963</v>
      </c>
      <c r="F54" s="23">
        <f>+SUM('Cash Flow Statement'!K8:M8)</f>
        <v>364.34567901234567</v>
      </c>
      <c r="G54" s="25">
        <f>+SUM('Cash Flow Statement'!N8:P8)</f>
        <v>1185.1851851851852</v>
      </c>
      <c r="H54" s="26">
        <f>SUM(D54:G54)</f>
        <v>2133.292181069959</v>
      </c>
      <c r="I54" s="24">
        <f>+SUM('Cash Flow Statement'!Q8:S8)</f>
        <v>2370.3703703703704</v>
      </c>
      <c r="J54" s="23">
        <f>+SUM('Cash Flow Statement'!T8:V8)</f>
        <v>2370.3703703703704</v>
      </c>
      <c r="K54" s="23">
        <f>+SUM('Cash Flow Statement'!W8:Y8)</f>
        <v>2370.3703703703704</v>
      </c>
      <c r="L54" s="25">
        <f>+SUM('Cash Flow Statement'!Z8:AB8)</f>
        <v>2370.3703703703704</v>
      </c>
      <c r="M54" s="26">
        <f>SUM(I54:L54)</f>
        <v>9481.481481481482</v>
      </c>
      <c r="N54" s="24">
        <f>+SUM('Cash Flow Statement'!AC8:AE8)</f>
        <v>4425.925925925925</v>
      </c>
      <c r="O54" s="23">
        <f>+SUM('Cash Flow Statement'!AF8:AH8)</f>
        <v>4425.925925925925</v>
      </c>
      <c r="P54" s="23">
        <f>+SUM('Cash Flow Statement'!AI8:AK8)</f>
        <v>4425.925925925925</v>
      </c>
      <c r="Q54" s="25">
        <f>+SUM('Cash Flow Statement'!AL8:AN8)</f>
        <v>4425.925925925925</v>
      </c>
      <c r="R54" s="26">
        <f>SUM(N54:Q54)</f>
        <v>17703.7037037037</v>
      </c>
      <c r="S54" s="24">
        <f>+SUM('Cash Flow Statement'!AO8:AQ8)</f>
        <v>4518.518518518519</v>
      </c>
      <c r="T54" s="23">
        <f>+SUM('Cash Flow Statement'!AR8:AT8)</f>
        <v>4518.518518518519</v>
      </c>
      <c r="U54" s="23">
        <f>+SUM('Cash Flow Statement'!AU8:AW8)</f>
        <v>4518.518518518519</v>
      </c>
      <c r="V54" s="25">
        <f>+SUM('Cash Flow Statement'!AX8:AZ8)</f>
        <v>4518.518518518519</v>
      </c>
      <c r="W54" s="26">
        <f>SUM(S54:V54)</f>
        <v>18074.074074074077</v>
      </c>
      <c r="X54" s="24">
        <f>+SUM('Cash Flow Statement'!BA8:BC8)</f>
        <v>5370.37037037037</v>
      </c>
      <c r="Y54" s="23">
        <f>+SUM('Cash Flow Statement'!BD8:BF8)</f>
        <v>5370.37037037037</v>
      </c>
      <c r="Z54" s="23">
        <f>+SUM('Cash Flow Statement'!BG8:BI8)</f>
        <v>5370.37037037037</v>
      </c>
      <c r="AA54" s="25">
        <f>+SUM('Cash Flow Statement'!BJ8:BL8)</f>
        <v>5370.37037037037</v>
      </c>
      <c r="AB54" s="26">
        <f>SUM(X54:AA54)</f>
        <v>21481.48148148148</v>
      </c>
    </row>
    <row r="55" spans="2:28" ht="16.05" customHeight="1">
      <c r="B55" s="74" t="s">
        <v>39</v>
      </c>
      <c r="C55" s="26">
        <f>+'Cash Flow Statement'!D9</f>
        <v>-26656</v>
      </c>
      <c r="D55" s="24">
        <f>+SUM('Cash Flow Statement'!E9:G9)</f>
        <v>-249.6250000000001</v>
      </c>
      <c r="E55" s="23">
        <f>+SUM('Cash Flow Statement'!H9:J9)</f>
        <v>-249.6249999999999</v>
      </c>
      <c r="F55" s="23">
        <f>+SUM('Cash Flow Statement'!K9:M9)</f>
        <v>-249.62500000000017</v>
      </c>
      <c r="G55" s="25">
        <f>+SUM('Cash Flow Statement'!N9:P9)</f>
        <v>-249.62499999999983</v>
      </c>
      <c r="H55" s="26">
        <f>+SUM(H56:H58)</f>
        <v>-998.5</v>
      </c>
      <c r="I55" s="24">
        <f>+SUM('Cash Flow Statement'!Q9:S9)</f>
        <v>-249.62500000000728</v>
      </c>
      <c r="J55" s="23">
        <f>+SUM('Cash Flow Statement'!T9:V9)</f>
        <v>-249.62500000000728</v>
      </c>
      <c r="K55" s="23">
        <f>+SUM('Cash Flow Statement'!W9:Y9)</f>
        <v>-249.62500000000728</v>
      </c>
      <c r="L55" s="25">
        <f>+SUM('Cash Flow Statement'!Z9:AB9)</f>
        <v>-249.62499999997817</v>
      </c>
      <c r="M55" s="26">
        <f>+SUM(M56:M58)</f>
        <v>-998.5</v>
      </c>
      <c r="N55" s="24">
        <f>+SUM('Cash Flow Statement'!AC9:AE9)</f>
        <v>0</v>
      </c>
      <c r="O55" s="23">
        <f>+SUM('Cash Flow Statement'!AF9:AH9)</f>
        <v>0</v>
      </c>
      <c r="P55" s="23">
        <f>+SUM('Cash Flow Statement'!AI9:AK9)</f>
        <v>0</v>
      </c>
      <c r="Q55" s="25">
        <f>+SUM('Cash Flow Statement'!AL9:AN9)</f>
        <v>0</v>
      </c>
      <c r="R55" s="26">
        <f>+SUM(R56:R58)</f>
        <v>0</v>
      </c>
      <c r="S55" s="24">
        <f>+SUM('Cash Flow Statement'!AO9:AQ9)</f>
        <v>0</v>
      </c>
      <c r="T55" s="23">
        <f>+SUM('Cash Flow Statement'!AR9:AT9)</f>
        <v>0</v>
      </c>
      <c r="U55" s="23">
        <f>+SUM('Cash Flow Statement'!AU9:AW9)</f>
        <v>0</v>
      </c>
      <c r="V55" s="25">
        <f>+SUM('Cash Flow Statement'!AX9:AZ9)</f>
        <v>0</v>
      </c>
      <c r="W55" s="26">
        <f>+SUM(W56:W58)</f>
        <v>0</v>
      </c>
      <c r="X55" s="24">
        <f>+SUM('Cash Flow Statement'!BA9:BC9)</f>
        <v>0</v>
      </c>
      <c r="Y55" s="23">
        <f>+SUM('Cash Flow Statement'!BD9:BF9)</f>
        <v>0</v>
      </c>
      <c r="Z55" s="23">
        <f>+SUM('Cash Flow Statement'!BG9:BI9)</f>
        <v>0</v>
      </c>
      <c r="AA55" s="25">
        <f>+SUM('Cash Flow Statement'!BJ9:BL9)</f>
        <v>0</v>
      </c>
      <c r="AB55" s="26">
        <f>+SUM(AB56:AB58)</f>
        <v>0</v>
      </c>
    </row>
    <row r="56" spans="2:28" s="31" customFormat="1" ht="15.75" outlineLevel="1">
      <c r="B56" s="48" t="s">
        <v>40</v>
      </c>
      <c r="C56" s="30">
        <f>+'Cash Flow Statement'!D10</f>
        <v>-28457</v>
      </c>
      <c r="D56" s="27">
        <f>+SUM('Cash Flow Statement'!E10:G10)</f>
        <v>101.37499999999989</v>
      </c>
      <c r="E56" s="28">
        <f>+SUM('Cash Flow Statement'!H10:J10)</f>
        <v>101.37500000000011</v>
      </c>
      <c r="F56" s="28">
        <f>+SUM('Cash Flow Statement'!K10:M10)</f>
        <v>101.37499999999983</v>
      </c>
      <c r="G56" s="29">
        <f>+SUM('Cash Flow Statement'!N10:P10)</f>
        <v>101.37500000000017</v>
      </c>
      <c r="H56" s="30">
        <f>+SUM(D56:G56)</f>
        <v>405.5</v>
      </c>
      <c r="I56" s="27">
        <f>+SUM('Cash Flow Statement'!Q10:S10)</f>
        <v>101.37499999999272</v>
      </c>
      <c r="J56" s="28">
        <f>+SUM('Cash Flow Statement'!T10:V10)</f>
        <v>101.37499999999272</v>
      </c>
      <c r="K56" s="28">
        <f>+SUM('Cash Flow Statement'!W10:Y10)</f>
        <v>101.37499999999272</v>
      </c>
      <c r="L56" s="29">
        <f>+SUM('Cash Flow Statement'!Z10:AB10)</f>
        <v>101.37500000002183</v>
      </c>
      <c r="M56" s="30">
        <f>+SUM(I56:L56)</f>
        <v>405.5</v>
      </c>
      <c r="N56" s="27">
        <f>+SUM('Cash Flow Statement'!AC10:AE10)</f>
        <v>0</v>
      </c>
      <c r="O56" s="28">
        <f>+SUM('Cash Flow Statement'!AF10:AH10)</f>
        <v>0</v>
      </c>
      <c r="P56" s="28">
        <f>+SUM('Cash Flow Statement'!AI10:AK10)</f>
        <v>0</v>
      </c>
      <c r="Q56" s="29">
        <f>+SUM('Cash Flow Statement'!AL10:AN10)</f>
        <v>0</v>
      </c>
      <c r="R56" s="30">
        <f>+SUM(N56:Q56)</f>
        <v>0</v>
      </c>
      <c r="S56" s="27">
        <f>+SUM('Cash Flow Statement'!AO10:AQ10)</f>
        <v>0</v>
      </c>
      <c r="T56" s="28">
        <f>+SUM('Cash Flow Statement'!AR10:AT10)</f>
        <v>0</v>
      </c>
      <c r="U56" s="28">
        <f>+SUM('Cash Flow Statement'!AU10:AW10)</f>
        <v>0</v>
      </c>
      <c r="V56" s="29">
        <f>+SUM('Cash Flow Statement'!AX10:AZ10)</f>
        <v>0</v>
      </c>
      <c r="W56" s="30">
        <f>+SUM(S56:V56)</f>
        <v>0</v>
      </c>
      <c r="X56" s="27">
        <f>+SUM('Cash Flow Statement'!BA10:BC10)</f>
        <v>0</v>
      </c>
      <c r="Y56" s="28">
        <f>+SUM('Cash Flow Statement'!BD10:BF10)</f>
        <v>0</v>
      </c>
      <c r="Z56" s="28">
        <f>+SUM('Cash Flow Statement'!BG10:BI10)</f>
        <v>0</v>
      </c>
      <c r="AA56" s="29">
        <f>+SUM('Cash Flow Statement'!BJ10:BL10)</f>
        <v>0</v>
      </c>
      <c r="AB56" s="30">
        <f>+SUM(X56:AA56)</f>
        <v>0</v>
      </c>
    </row>
    <row r="57" spans="2:28" s="31" customFormat="1" ht="15.75" outlineLevel="1">
      <c r="B57" s="48" t="s">
        <v>28</v>
      </c>
      <c r="C57" s="30">
        <f>+'Cash Flow Statement'!D11</f>
        <v>1801</v>
      </c>
      <c r="D57" s="27">
        <f>+SUM('Cash Flow Statement'!E11:G11)</f>
        <v>-351</v>
      </c>
      <c r="E57" s="28">
        <f>+SUM('Cash Flow Statement'!H11:J11)</f>
        <v>-351</v>
      </c>
      <c r="F57" s="28">
        <f>+SUM('Cash Flow Statement'!K11:M11)</f>
        <v>-351</v>
      </c>
      <c r="G57" s="29">
        <f>+SUM('Cash Flow Statement'!N11:P11)</f>
        <v>-351</v>
      </c>
      <c r="H57" s="30">
        <f aca="true" t="shared" si="46" ref="H57:H58">+SUM(D57:G57)</f>
        <v>-1404</v>
      </c>
      <c r="I57" s="27">
        <f>+SUM('Cash Flow Statement'!Q11:S11)</f>
        <v>-351</v>
      </c>
      <c r="J57" s="28">
        <f>+SUM('Cash Flow Statement'!T11:V11)</f>
        <v>-351</v>
      </c>
      <c r="K57" s="28">
        <f>+SUM('Cash Flow Statement'!W11:Y11)</f>
        <v>-351</v>
      </c>
      <c r="L57" s="29">
        <f>+SUM('Cash Flow Statement'!Z11:AB11)</f>
        <v>-351</v>
      </c>
      <c r="M57" s="30">
        <f aca="true" t="shared" si="47" ref="M57:M58">+SUM(I57:L57)</f>
        <v>-1404</v>
      </c>
      <c r="N57" s="27">
        <f>+SUM('Cash Flow Statement'!AC11:AE11)</f>
        <v>0</v>
      </c>
      <c r="O57" s="28">
        <f>+SUM('Cash Flow Statement'!AF11:AH11)</f>
        <v>0</v>
      </c>
      <c r="P57" s="28">
        <f>+SUM('Cash Flow Statement'!AI11:AK11)</f>
        <v>0</v>
      </c>
      <c r="Q57" s="29">
        <f>+SUM('Cash Flow Statement'!AL11:AN11)</f>
        <v>0</v>
      </c>
      <c r="R57" s="30">
        <f aca="true" t="shared" si="48" ref="R57:R58">+SUM(N57:Q57)</f>
        <v>0</v>
      </c>
      <c r="S57" s="27">
        <f>+SUM('Cash Flow Statement'!AO11:AQ11)</f>
        <v>0</v>
      </c>
      <c r="T57" s="28">
        <f>+SUM('Cash Flow Statement'!AR11:AT11)</f>
        <v>0</v>
      </c>
      <c r="U57" s="28">
        <f>+SUM('Cash Flow Statement'!AU11:AW11)</f>
        <v>0</v>
      </c>
      <c r="V57" s="29">
        <f>+SUM('Cash Flow Statement'!AX11:AZ11)</f>
        <v>0</v>
      </c>
      <c r="W57" s="30">
        <f aca="true" t="shared" si="49" ref="W57:W58">+SUM(S57:V57)</f>
        <v>0</v>
      </c>
      <c r="X57" s="27">
        <f>+SUM('Cash Flow Statement'!BA11:BC11)</f>
        <v>0</v>
      </c>
      <c r="Y57" s="28">
        <f>+SUM('Cash Flow Statement'!BD11:BF11)</f>
        <v>0</v>
      </c>
      <c r="Z57" s="28">
        <f>+SUM('Cash Flow Statement'!BG11:BI11)</f>
        <v>0</v>
      </c>
      <c r="AA57" s="29">
        <f>+SUM('Cash Flow Statement'!BJ11:BL11)</f>
        <v>0</v>
      </c>
      <c r="AB57" s="30">
        <f aca="true" t="shared" si="50" ref="AB57:AB58">+SUM(X57:AA57)</f>
        <v>0</v>
      </c>
    </row>
    <row r="58" spans="2:28" s="31" customFormat="1" ht="15.75" outlineLevel="1">
      <c r="B58" s="48" t="s">
        <v>29</v>
      </c>
      <c r="C58" s="30">
        <f>+'Cash Flow Statement'!D12</f>
        <v>0</v>
      </c>
      <c r="D58" s="27">
        <f>+SUM('Cash Flow Statement'!E12:G12)</f>
        <v>0</v>
      </c>
      <c r="E58" s="28">
        <f>+SUM('Cash Flow Statement'!H12:J12)</f>
        <v>0</v>
      </c>
      <c r="F58" s="28">
        <f>+SUM('Cash Flow Statement'!K12:M12)</f>
        <v>0</v>
      </c>
      <c r="G58" s="29">
        <f>+SUM('Cash Flow Statement'!N12:P12)</f>
        <v>0</v>
      </c>
      <c r="H58" s="30">
        <f t="shared" si="46"/>
        <v>0</v>
      </c>
      <c r="I58" s="27">
        <f>+SUM('Cash Flow Statement'!Q12:S12)</f>
        <v>0</v>
      </c>
      <c r="J58" s="28">
        <f>+SUM('Cash Flow Statement'!T12:V12)</f>
        <v>0</v>
      </c>
      <c r="K58" s="28">
        <f>+SUM('Cash Flow Statement'!W12:Y12)</f>
        <v>0</v>
      </c>
      <c r="L58" s="29">
        <f>+SUM('Cash Flow Statement'!Z12:AB12)</f>
        <v>0</v>
      </c>
      <c r="M58" s="30">
        <f t="shared" si="47"/>
        <v>0</v>
      </c>
      <c r="N58" s="27">
        <f>+SUM('Cash Flow Statement'!AC12:AE12)</f>
        <v>0</v>
      </c>
      <c r="O58" s="28">
        <f>+SUM('Cash Flow Statement'!AF12:AH12)</f>
        <v>0</v>
      </c>
      <c r="P58" s="28">
        <f>+SUM('Cash Flow Statement'!AI12:AK12)</f>
        <v>0</v>
      </c>
      <c r="Q58" s="29">
        <f>+SUM('Cash Flow Statement'!AL12:AN12)</f>
        <v>0</v>
      </c>
      <c r="R58" s="30">
        <f t="shared" si="48"/>
        <v>0</v>
      </c>
      <c r="S58" s="27">
        <f>+SUM('Cash Flow Statement'!AO12:AQ12)</f>
        <v>0</v>
      </c>
      <c r="T58" s="28">
        <f>+SUM('Cash Flow Statement'!AR12:AT12)</f>
        <v>0</v>
      </c>
      <c r="U58" s="28">
        <f>+SUM('Cash Flow Statement'!AU12:AW12)</f>
        <v>0</v>
      </c>
      <c r="V58" s="29">
        <f>+SUM('Cash Flow Statement'!AX12:AZ12)</f>
        <v>0</v>
      </c>
      <c r="W58" s="30">
        <f t="shared" si="49"/>
        <v>0</v>
      </c>
      <c r="X58" s="27">
        <f>+SUM('Cash Flow Statement'!BA12:BC12)</f>
        <v>0</v>
      </c>
      <c r="Y58" s="28">
        <f>+SUM('Cash Flow Statement'!BD12:BF12)</f>
        <v>0</v>
      </c>
      <c r="Z58" s="28">
        <f>+SUM('Cash Flow Statement'!BG12:BI12)</f>
        <v>0</v>
      </c>
      <c r="AA58" s="29">
        <f>+SUM('Cash Flow Statement'!BJ12:BL12)</f>
        <v>0</v>
      </c>
      <c r="AB58" s="30">
        <f t="shared" si="50"/>
        <v>0</v>
      </c>
    </row>
    <row r="59" spans="2:28" ht="15.75">
      <c r="B59" s="47" t="s">
        <v>41</v>
      </c>
      <c r="C59" s="26">
        <f>+'Cash Flow Statement'!D13</f>
        <v>-83128</v>
      </c>
      <c r="D59" s="24">
        <f>+SUM('Cash Flow Statement'!E13:G13)</f>
        <v>-3000</v>
      </c>
      <c r="E59" s="23">
        <f>+SUM('Cash Flow Statement'!H13:J13)</f>
        <v>0</v>
      </c>
      <c r="F59" s="23">
        <f>+SUM('Cash Flow Statement'!K13:M13)</f>
        <v>0</v>
      </c>
      <c r="G59" s="25">
        <f>+SUM('Cash Flow Statement'!N13:P13)</f>
        <v>-10000</v>
      </c>
      <c r="H59" s="26">
        <f>+SUM(H60:H62)</f>
        <v>-13000</v>
      </c>
      <c r="I59" s="24">
        <f>+SUM('Cash Flow Statement'!Q13:S13)</f>
        <v>-30884.870370370376</v>
      </c>
      <c r="J59" s="23">
        <f>+SUM('Cash Flow Statement'!T13:V13)</f>
        <v>-6884.870370370376</v>
      </c>
      <c r="K59" s="23">
        <f>+SUM('Cash Flow Statement'!W13:Y13)</f>
        <v>-6884.870370370376</v>
      </c>
      <c r="L59" s="25">
        <f>+SUM('Cash Flow Statement'!Z13:AB13)</f>
        <v>-6884.870370370376</v>
      </c>
      <c r="M59" s="26">
        <f>+SUM(M60:M62)</f>
        <v>-51539.4814814815</v>
      </c>
      <c r="N59" s="24">
        <f>+SUM('Cash Flow Statement'!AC13:AE13)</f>
        <v>-48769.74074074073</v>
      </c>
      <c r="O59" s="23">
        <f>+SUM('Cash Flow Statement'!AF13:AH13)</f>
        <v>-13769.74074074074</v>
      </c>
      <c r="P59" s="23">
        <f>+SUM('Cash Flow Statement'!AI13:AK13)</f>
        <v>-13769.74074074074</v>
      </c>
      <c r="Q59" s="25">
        <f>+SUM('Cash Flow Statement'!AL13:AN13)</f>
        <v>-13769.74074074074</v>
      </c>
      <c r="R59" s="26">
        <f>+SUM(R60:R62)</f>
        <v>-90078.96296296296</v>
      </c>
      <c r="S59" s="24">
        <f>+SUM('Cash Flow Statement'!AO13:AQ13)</f>
        <v>-59769.74074074073</v>
      </c>
      <c r="T59" s="23">
        <f>+SUM('Cash Flow Statement'!AR13:AT13)</f>
        <v>-13769.74074074074</v>
      </c>
      <c r="U59" s="23">
        <f>+SUM('Cash Flow Statement'!AU13:AW13)</f>
        <v>-13769.74074074074</v>
      </c>
      <c r="V59" s="25">
        <f>+SUM('Cash Flow Statement'!AX13:AZ13)</f>
        <v>-13769.74074074074</v>
      </c>
      <c r="W59" s="26">
        <f>+SUM(W60:W62)</f>
        <v>-101078.96296296296</v>
      </c>
      <c r="X59" s="24">
        <f>+SUM('Cash Flow Statement'!BA13:BC13)</f>
        <v>-60769.74074074073</v>
      </c>
      <c r="Y59" s="23">
        <f>+SUM('Cash Flow Statement'!BD13:BF13)</f>
        <v>-13769.74074074074</v>
      </c>
      <c r="Z59" s="23">
        <f>+SUM('Cash Flow Statement'!BG13:BI13)</f>
        <v>-13769.74074074074</v>
      </c>
      <c r="AA59" s="25">
        <f>+SUM('Cash Flow Statement'!BJ13:BL13)</f>
        <v>-13769.74074074074</v>
      </c>
      <c r="AB59" s="26">
        <f>+SUM(AB60:AB62)</f>
        <v>-102078.96296296296</v>
      </c>
    </row>
    <row r="60" spans="2:28" s="31" customFormat="1" ht="15.75" outlineLevel="1">
      <c r="B60" s="48" t="s">
        <v>37</v>
      </c>
      <c r="C60" s="30">
        <f>+'Cash Flow Statement'!D14</f>
        <v>-83128</v>
      </c>
      <c r="D60" s="27">
        <f>+SUM('Cash Flow Statement'!E14:G14)</f>
        <v>-3000</v>
      </c>
      <c r="E60" s="28">
        <f>+SUM('Cash Flow Statement'!H14:J14)</f>
        <v>0</v>
      </c>
      <c r="F60" s="28">
        <f>+SUM('Cash Flow Statement'!K14:M14)</f>
        <v>0</v>
      </c>
      <c r="G60" s="29">
        <f>+SUM('Cash Flow Statement'!N14:P14)</f>
        <v>-10000</v>
      </c>
      <c r="H60" s="30">
        <f>+SUM(D60:G60)</f>
        <v>-13000</v>
      </c>
      <c r="I60" s="27">
        <f>+SUM('Cash Flow Statement'!Q14:S14)</f>
        <v>-30884.870370370376</v>
      </c>
      <c r="J60" s="28">
        <f>+SUM('Cash Flow Statement'!T14:V14)</f>
        <v>-6884.870370370376</v>
      </c>
      <c r="K60" s="28">
        <f>+SUM('Cash Flow Statement'!W14:Y14)</f>
        <v>-6884.870370370376</v>
      </c>
      <c r="L60" s="29">
        <f>+SUM('Cash Flow Statement'!Z14:AB14)</f>
        <v>-6884.870370370376</v>
      </c>
      <c r="M60" s="30">
        <f>+SUM(I60:L60)</f>
        <v>-51539.4814814815</v>
      </c>
      <c r="N60" s="27">
        <f>+SUM('Cash Flow Statement'!AC14:AE14)</f>
        <v>-48769.74074074073</v>
      </c>
      <c r="O60" s="28">
        <f>+SUM('Cash Flow Statement'!AF14:AH14)</f>
        <v>-13769.74074074074</v>
      </c>
      <c r="P60" s="28">
        <f>+SUM('Cash Flow Statement'!AI14:AK14)</f>
        <v>-13769.74074074074</v>
      </c>
      <c r="Q60" s="29">
        <f>+SUM('Cash Flow Statement'!AL14:AN14)</f>
        <v>-13769.74074074074</v>
      </c>
      <c r="R60" s="30">
        <f>+SUM(N60:Q60)</f>
        <v>-90078.96296296296</v>
      </c>
      <c r="S60" s="27">
        <f>+SUM('Cash Flow Statement'!AO14:AQ14)</f>
        <v>-59769.74074074073</v>
      </c>
      <c r="T60" s="28">
        <f>+SUM('Cash Flow Statement'!AR14:AT14)</f>
        <v>-13769.74074074074</v>
      </c>
      <c r="U60" s="28">
        <f>+SUM('Cash Flow Statement'!AU14:AW14)</f>
        <v>-13769.74074074074</v>
      </c>
      <c r="V60" s="29">
        <f>+SUM('Cash Flow Statement'!AX14:AZ14)</f>
        <v>-13769.74074074074</v>
      </c>
      <c r="W60" s="30">
        <f>+SUM(S60:V60)</f>
        <v>-101078.96296296296</v>
      </c>
      <c r="X60" s="27">
        <f>+SUM('Cash Flow Statement'!BA14:BC14)</f>
        <v>-60769.74074074073</v>
      </c>
      <c r="Y60" s="28">
        <f>+SUM('Cash Flow Statement'!BD14:BF14)</f>
        <v>-13769.74074074074</v>
      </c>
      <c r="Z60" s="28">
        <f>+SUM('Cash Flow Statement'!BG14:BI14)</f>
        <v>-13769.74074074074</v>
      </c>
      <c r="AA60" s="29">
        <f>+SUM('Cash Flow Statement'!BJ14:BL14)</f>
        <v>-13769.74074074074</v>
      </c>
      <c r="AB60" s="30">
        <f>+SUM(X60:AA60)</f>
        <v>-102078.96296296296</v>
      </c>
    </row>
    <row r="61" spans="2:28" s="31" customFormat="1" ht="15.75" outlineLevel="1">
      <c r="B61" s="48" t="s">
        <v>42</v>
      </c>
      <c r="C61" s="30">
        <f>+'Cash Flow Statement'!D15</f>
        <v>0</v>
      </c>
      <c r="D61" s="27">
        <f>+SUM('Cash Flow Statement'!E15:G15)</f>
        <v>0</v>
      </c>
      <c r="E61" s="28">
        <f>+SUM('Cash Flow Statement'!H15:J15)</f>
        <v>0</v>
      </c>
      <c r="F61" s="28">
        <f>+SUM('Cash Flow Statement'!K15:M15)</f>
        <v>0</v>
      </c>
      <c r="G61" s="29">
        <f>+SUM('Cash Flow Statement'!N15:P15)</f>
        <v>0</v>
      </c>
      <c r="H61" s="30">
        <f>SUM(D61:G61)</f>
        <v>0</v>
      </c>
      <c r="I61" s="27">
        <f>+SUM('Cash Flow Statement'!Q15:S15)</f>
        <v>0</v>
      </c>
      <c r="J61" s="28">
        <f>+SUM('Cash Flow Statement'!T15:V15)</f>
        <v>0</v>
      </c>
      <c r="K61" s="28">
        <f>+SUM('Cash Flow Statement'!W15:Y15)</f>
        <v>0</v>
      </c>
      <c r="L61" s="29">
        <f>+SUM('Cash Flow Statement'!Z15:AB15)</f>
        <v>0</v>
      </c>
      <c r="M61" s="30">
        <f>SUM(I61:L61)</f>
        <v>0</v>
      </c>
      <c r="N61" s="27">
        <f>+SUM('Cash Flow Statement'!AC15:AE15)</f>
        <v>0</v>
      </c>
      <c r="O61" s="28">
        <f>+SUM('Cash Flow Statement'!AF15:AH15)</f>
        <v>0</v>
      </c>
      <c r="P61" s="28">
        <f>+SUM('Cash Flow Statement'!AI15:AK15)</f>
        <v>0</v>
      </c>
      <c r="Q61" s="29">
        <f>+SUM('Cash Flow Statement'!AL15:AN15)</f>
        <v>0</v>
      </c>
      <c r="R61" s="30">
        <f>SUM(N61:Q61)</f>
        <v>0</v>
      </c>
      <c r="S61" s="27">
        <f>+SUM('Cash Flow Statement'!AO15:AQ15)</f>
        <v>0</v>
      </c>
      <c r="T61" s="28">
        <f>+SUM('Cash Flow Statement'!AR15:AT15)</f>
        <v>0</v>
      </c>
      <c r="U61" s="28">
        <f>+SUM('Cash Flow Statement'!AU15:AW15)</f>
        <v>0</v>
      </c>
      <c r="V61" s="29">
        <f>+SUM('Cash Flow Statement'!AX15:AZ15)</f>
        <v>0</v>
      </c>
      <c r="W61" s="30">
        <f>SUM(S61:V61)</f>
        <v>0</v>
      </c>
      <c r="X61" s="27">
        <f>+SUM('Cash Flow Statement'!BA15:BC15)</f>
        <v>0</v>
      </c>
      <c r="Y61" s="28">
        <f>+SUM('Cash Flow Statement'!BD15:BF15)</f>
        <v>0</v>
      </c>
      <c r="Z61" s="28">
        <f>+SUM('Cash Flow Statement'!BG15:BI15)</f>
        <v>0</v>
      </c>
      <c r="AA61" s="29">
        <f>+SUM('Cash Flow Statement'!BJ15:BL15)</f>
        <v>0</v>
      </c>
      <c r="AB61" s="30">
        <f>SUM(X61:AA61)</f>
        <v>0</v>
      </c>
    </row>
    <row r="62" spans="2:28" s="31" customFormat="1" ht="15.75" outlineLevel="1">
      <c r="B62" s="48" t="s">
        <v>43</v>
      </c>
      <c r="C62" s="30">
        <f>+'Cash Flow Statement'!D16</f>
        <v>0</v>
      </c>
      <c r="D62" s="27">
        <f>+SUM('Cash Flow Statement'!E16:G16)</f>
        <v>0</v>
      </c>
      <c r="E62" s="28">
        <f>+SUM('Cash Flow Statement'!H16:J16)</f>
        <v>0</v>
      </c>
      <c r="F62" s="28">
        <f>+SUM('Cash Flow Statement'!K16:M16)</f>
        <v>0</v>
      </c>
      <c r="G62" s="29">
        <f>+SUM('Cash Flow Statement'!N16:P16)</f>
        <v>0</v>
      </c>
      <c r="H62" s="30">
        <v>0</v>
      </c>
      <c r="I62" s="27">
        <f>+SUM('Cash Flow Statement'!Q16:S16)</f>
        <v>0</v>
      </c>
      <c r="J62" s="28">
        <f>+SUM('Cash Flow Statement'!T16:V16)</f>
        <v>0</v>
      </c>
      <c r="K62" s="28">
        <f>+SUM('Cash Flow Statement'!W16:Y16)</f>
        <v>0</v>
      </c>
      <c r="L62" s="29">
        <f>+SUM('Cash Flow Statement'!Z16:AB16)</f>
        <v>0</v>
      </c>
      <c r="M62" s="30">
        <v>0</v>
      </c>
      <c r="N62" s="27">
        <f>+SUM('Cash Flow Statement'!AC16:AE16)</f>
        <v>0</v>
      </c>
      <c r="O62" s="28">
        <f>+SUM('Cash Flow Statement'!AF16:AH16)</f>
        <v>0</v>
      </c>
      <c r="P62" s="28">
        <f>+SUM('Cash Flow Statement'!AI16:AK16)</f>
        <v>0</v>
      </c>
      <c r="Q62" s="29">
        <f>+SUM('Cash Flow Statement'!AL16:AN16)</f>
        <v>0</v>
      </c>
      <c r="R62" s="30">
        <v>0</v>
      </c>
      <c r="S62" s="27">
        <f>+SUM('Cash Flow Statement'!AO16:AQ16)</f>
        <v>0</v>
      </c>
      <c r="T62" s="28">
        <f>+SUM('Cash Flow Statement'!AR16:AT16)</f>
        <v>0</v>
      </c>
      <c r="U62" s="28">
        <f>+SUM('Cash Flow Statement'!AU16:AW16)</f>
        <v>0</v>
      </c>
      <c r="V62" s="29">
        <f>+SUM('Cash Flow Statement'!AX16:AZ16)</f>
        <v>0</v>
      </c>
      <c r="W62" s="30">
        <v>0</v>
      </c>
      <c r="X62" s="27">
        <f>+SUM('Cash Flow Statement'!BA16:BC16)</f>
        <v>0</v>
      </c>
      <c r="Y62" s="28">
        <f>+SUM('Cash Flow Statement'!BD16:BF16)</f>
        <v>0</v>
      </c>
      <c r="Z62" s="28">
        <f>+SUM('Cash Flow Statement'!BG16:BI16)</f>
        <v>0</v>
      </c>
      <c r="AA62" s="29">
        <f>+SUM('Cash Flow Statement'!BJ16:BL16)</f>
        <v>0</v>
      </c>
      <c r="AB62" s="30">
        <v>0</v>
      </c>
    </row>
    <row r="63" spans="2:28" ht="15.75">
      <c r="B63" s="75" t="s">
        <v>172</v>
      </c>
      <c r="C63" s="26">
        <f>+'Cash Flow Statement'!D17</f>
        <v>-101204</v>
      </c>
      <c r="D63" s="24">
        <f>+SUM('Cash Flow Statement'!E17:G17)</f>
        <v>-13018.95605679013</v>
      </c>
      <c r="E63" s="23">
        <f>+SUM('Cash Flow Statement'!H17:J17)</f>
        <v>-5150.469700000001</v>
      </c>
      <c r="F63" s="23">
        <f>+SUM('Cash Flow Statement'!K17:M17)</f>
        <v>-10651.673033333334</v>
      </c>
      <c r="G63" s="25">
        <f>+SUM('Cash Flow Statement'!N17:P17)</f>
        <v>-46544.320283333334</v>
      </c>
      <c r="H63" s="26">
        <f>+SUM(H51:H55)+H59</f>
        <v>-75365.4190734568</v>
      </c>
      <c r="I63" s="24">
        <f>+SUM('Cash Flow Statement'!Q17:S17)</f>
        <v>-55781.35053666669</v>
      </c>
      <c r="J63" s="23">
        <f>+SUM('Cash Flow Statement'!T17:V17)</f>
        <v>-22113.1713</v>
      </c>
      <c r="K63" s="23">
        <f>+SUM('Cash Flow Statement'!W17:Y17)</f>
        <v>-11868.781705000027</v>
      </c>
      <c r="L63" s="25">
        <f>+SUM('Cash Flow Statement'!Z17:AB17)</f>
        <v>-3405.966404999998</v>
      </c>
      <c r="M63" s="26">
        <f>+SUM(M51:M55)+M59</f>
        <v>-93169.26994666673</v>
      </c>
      <c r="N63" s="24">
        <f>+SUM('Cash Flow Statement'!AC17:AE17)</f>
        <v>-52420.94248999996</v>
      </c>
      <c r="O63" s="23">
        <f>+SUM('Cash Flow Statement'!AF17:AH17)</f>
        <v>-7422.559254999955</v>
      </c>
      <c r="P63" s="23">
        <f>+SUM('Cash Flow Statement'!AI17:AK17)</f>
        <v>5872.131095000037</v>
      </c>
      <c r="Q63" s="25">
        <f>+SUM('Cash Flow Statement'!AL17:AN17)</f>
        <v>21142.612100000046</v>
      </c>
      <c r="R63" s="26">
        <f>+SUM(R51:R55)+R59</f>
        <v>-32828.75854999984</v>
      </c>
      <c r="S63" s="24">
        <f>+SUM('Cash Flow Statement'!AO17:AQ17)</f>
        <v>1061.9013100000375</v>
      </c>
      <c r="T63" s="23">
        <f>+SUM('Cash Flow Statement'!AR17:AT17)</f>
        <v>67792.23169</v>
      </c>
      <c r="U63" s="23">
        <f>+SUM('Cash Flow Statement'!AU17:AW17)</f>
        <v>108491.53242</v>
      </c>
      <c r="V63" s="25">
        <f>+SUM('Cash Flow Statement'!AX17:AZ17)</f>
        <v>136959.90469500003</v>
      </c>
      <c r="W63" s="26">
        <f>+SUM(W51:W55)+W59</f>
        <v>314305.5701150001</v>
      </c>
      <c r="X63" s="24">
        <f>+SUM('Cash Flow Statement'!BA17:BC17)</f>
        <v>120631.24481366675</v>
      </c>
      <c r="Y63" s="23">
        <f>+SUM('Cash Flow Statement'!BD17:BF17)</f>
        <v>208150.07083500002</v>
      </c>
      <c r="Z63" s="23">
        <f>+SUM('Cash Flow Statement'!BG17:BI17)</f>
        <v>176088.13473330124</v>
      </c>
      <c r="AA63" s="25">
        <f>+SUM('Cash Flow Statement'!BJ17:BL17)</f>
        <v>330160.449985</v>
      </c>
      <c r="AB63" s="26">
        <f>+SUM(AB51:AB55)+AB59</f>
        <v>835029.900366968</v>
      </c>
    </row>
    <row r="64" spans="2:28" ht="15.75">
      <c r="B64" s="47" t="s">
        <v>44</v>
      </c>
      <c r="C64" s="26">
        <f>+'Cash Flow Statement'!D18</f>
        <v>0</v>
      </c>
      <c r="D64" s="24">
        <f>+SUM(D65:D68)</f>
        <v>0</v>
      </c>
      <c r="E64" s="23">
        <f aca="true" t="shared" si="51" ref="E64:G64">+SUM(E65:E68)</f>
        <v>6194.833333333333</v>
      </c>
      <c r="F64" s="23">
        <f t="shared" si="51"/>
        <v>-15.5</v>
      </c>
      <c r="G64" s="25">
        <f t="shared" si="51"/>
        <v>-15.5</v>
      </c>
      <c r="H64" s="26">
        <f>+SUM(D64:G64)</f>
        <v>6163.833333333333</v>
      </c>
      <c r="I64" s="24">
        <f>+SUM('Cash Flow Statement'!Q18:S18)</f>
        <v>-15.5</v>
      </c>
      <c r="J64" s="23">
        <f>+SUM('Cash Flow Statement'!T18:V18)</f>
        <v>-15.5</v>
      </c>
      <c r="K64" s="23">
        <f>+SUM('Cash Flow Statement'!W18:Y18)</f>
        <v>-15.5</v>
      </c>
      <c r="L64" s="25">
        <f>+SUM('Cash Flow Statement'!Z18:AB18)</f>
        <v>-15.5</v>
      </c>
      <c r="M64" s="26">
        <f>+SUM(I64:L64)</f>
        <v>-62</v>
      </c>
      <c r="N64" s="24">
        <f>+SUM('Cash Flow Statement'!AC18:AE18)</f>
        <v>-15.5</v>
      </c>
      <c r="O64" s="23">
        <f>+SUM('Cash Flow Statement'!AF18:AH18)</f>
        <v>-142.15435989758</v>
      </c>
      <c r="P64" s="23">
        <f>+SUM('Cash Flow Statement'!AI18:AK18)</f>
        <v>-395.46307969274</v>
      </c>
      <c r="Q64" s="25">
        <f>+SUM('Cash Flow Statement'!AL18:AN18)</f>
        <v>-395.46307969274005</v>
      </c>
      <c r="R64" s="26">
        <f>+SUM(R65:R68)</f>
        <v>-948.5805192830601</v>
      </c>
      <c r="S64" s="24">
        <f>+SUM('Cash Flow Statement'!AO18:AQ18)</f>
        <v>-395.46307969274</v>
      </c>
      <c r="T64" s="23">
        <f>+SUM('Cash Flow Statement'!AR18:AT18)</f>
        <v>-395.46307969274</v>
      </c>
      <c r="U64" s="23">
        <f>+SUM('Cash Flow Statement'!AU18:AW18)</f>
        <v>-395.46307969274</v>
      </c>
      <c r="V64" s="25">
        <f>+SUM('Cash Flow Statement'!AX18:AZ18)</f>
        <v>-395.46307969274005</v>
      </c>
      <c r="W64" s="26">
        <f>+SUM(W65:W68)</f>
        <v>-1581.8523187709602</v>
      </c>
      <c r="X64" s="24">
        <f>+SUM('Cash Flow Statement'!BA18:BC18)</f>
        <v>-395.46307969274005</v>
      </c>
      <c r="Y64" s="23">
        <f>+SUM('Cash Flow Statement'!BD18:BF18)</f>
        <v>-395.46307969274005</v>
      </c>
      <c r="Z64" s="23">
        <f>+SUM('Cash Flow Statement'!BG18:BI18)</f>
        <v>-395.46307969274005</v>
      </c>
      <c r="AA64" s="25">
        <f>+SUM('Cash Flow Statement'!BJ18:BL18)</f>
        <v>-395.46307969274005</v>
      </c>
      <c r="AB64" s="26">
        <f>+SUM(AB65:AB68)</f>
        <v>-1581.8523187709602</v>
      </c>
    </row>
    <row r="65" spans="2:28" s="31" customFormat="1" ht="15.75" outlineLevel="1">
      <c r="B65" s="48" t="s">
        <v>176</v>
      </c>
      <c r="C65" s="30">
        <f>+'Cash Flow Statement'!D19</f>
        <v>0</v>
      </c>
      <c r="D65" s="27">
        <f>+SUM('Cash Flow Statement'!E19:G19)</f>
        <v>0</v>
      </c>
      <c r="E65" s="28">
        <f>+SUM('Cash Flow Statement'!H19:J19)</f>
        <v>6200</v>
      </c>
      <c r="F65" s="28">
        <f>+SUM('Cash Flow Statement'!K19:M19)</f>
        <v>0</v>
      </c>
      <c r="G65" s="29">
        <f>+SUM('Cash Flow Statement'!N19:P19)</f>
        <v>0</v>
      </c>
      <c r="H65" s="30">
        <f>+SUM(D65:G65)</f>
        <v>6200</v>
      </c>
      <c r="I65" s="27">
        <f>+SUM('Cash Flow Statement'!Q19:S19)</f>
        <v>0</v>
      </c>
      <c r="J65" s="28">
        <f>+SUM('Cash Flow Statement'!T19:V19)</f>
        <v>0</v>
      </c>
      <c r="K65" s="28">
        <f>+SUM('Cash Flow Statement'!W19:Y19)</f>
        <v>0</v>
      </c>
      <c r="L65" s="29">
        <f>+SUM('Cash Flow Statement'!Z19:AB19)</f>
        <v>0</v>
      </c>
      <c r="M65" s="30">
        <f>+SUM(I65:L65)</f>
        <v>0</v>
      </c>
      <c r="N65" s="27">
        <f>+SUM('Cash Flow Statement'!AC19:AE19)</f>
        <v>0</v>
      </c>
      <c r="O65" s="28">
        <f>+SUM('Cash Flow Statement'!AF19:AH19)</f>
        <v>0</v>
      </c>
      <c r="P65" s="28">
        <f>+SUM('Cash Flow Statement'!AI19:AK19)</f>
        <v>0</v>
      </c>
      <c r="Q65" s="29">
        <f>+SUM('Cash Flow Statement'!AL19:AN19)</f>
        <v>0</v>
      </c>
      <c r="R65" s="30">
        <f>+SUM(N65:Q65)</f>
        <v>0</v>
      </c>
      <c r="S65" s="27">
        <f>+SUM('Cash Flow Statement'!AO19:AQ19)</f>
        <v>0</v>
      </c>
      <c r="T65" s="28">
        <f>+SUM('Cash Flow Statement'!AR19:AT19)</f>
        <v>0</v>
      </c>
      <c r="U65" s="28">
        <f>+SUM('Cash Flow Statement'!AU19:AW19)</f>
        <v>0</v>
      </c>
      <c r="V65" s="29">
        <f>+SUM('Cash Flow Statement'!AX19:AZ19)</f>
        <v>0</v>
      </c>
      <c r="W65" s="30">
        <f>+SUM(S65:V65)</f>
        <v>0</v>
      </c>
      <c r="X65" s="27">
        <f>+SUM('Cash Flow Statement'!BA19:BC19)</f>
        <v>0</v>
      </c>
      <c r="Y65" s="28">
        <f>+SUM('Cash Flow Statement'!BD19:BF19)</f>
        <v>0</v>
      </c>
      <c r="Z65" s="28">
        <f>+SUM('Cash Flow Statement'!BG19:BI19)</f>
        <v>0</v>
      </c>
      <c r="AA65" s="29">
        <f>+SUM('Cash Flow Statement'!BJ19:BL19)</f>
        <v>0</v>
      </c>
      <c r="AB65" s="30">
        <f>+SUM(X65:AA65)</f>
        <v>0</v>
      </c>
    </row>
    <row r="66" spans="2:28" s="31" customFormat="1" ht="15.75" outlineLevel="1">
      <c r="B66" s="48" t="s">
        <v>177</v>
      </c>
      <c r="C66" s="30">
        <f>+'Cash Flow Statement'!D20</f>
        <v>0</v>
      </c>
      <c r="D66" s="27">
        <f>+SUM('Cash Flow Statement'!E20:G20)</f>
        <v>0</v>
      </c>
      <c r="E66" s="28">
        <f>+SUM('Cash Flow Statement'!H20:J20)</f>
        <v>-5.166666666666667</v>
      </c>
      <c r="F66" s="28">
        <f>+SUM('Cash Flow Statement'!K20:M20)</f>
        <v>-15.5</v>
      </c>
      <c r="G66" s="29">
        <f>+SUM('Cash Flow Statement'!N20:P20)</f>
        <v>-15.5</v>
      </c>
      <c r="H66" s="30">
        <f>SUM(D66:G66)</f>
        <v>-36.16666666666667</v>
      </c>
      <c r="I66" s="27">
        <f>+SUM('Cash Flow Statement'!Q20:S20)</f>
        <v>-15.5</v>
      </c>
      <c r="J66" s="28">
        <f>+SUM('Cash Flow Statement'!T20:V20)</f>
        <v>-15.5</v>
      </c>
      <c r="K66" s="28">
        <f>+SUM('Cash Flow Statement'!W20:Y20)</f>
        <v>-15.5</v>
      </c>
      <c r="L66" s="29">
        <f>+SUM('Cash Flow Statement'!Z20:AB20)</f>
        <v>-15.5</v>
      </c>
      <c r="M66" s="30">
        <f>SUM(I66:L66)</f>
        <v>-62</v>
      </c>
      <c r="N66" s="27">
        <f>+SUM('Cash Flow Statement'!AC20:AE20)</f>
        <v>-15.5</v>
      </c>
      <c r="O66" s="28">
        <f>+SUM('Cash Flow Statement'!AF20:AH20)</f>
        <v>-142.15435989758</v>
      </c>
      <c r="P66" s="28">
        <f>+SUM('Cash Flow Statement'!AI20:AK20)</f>
        <v>-395.46307969274</v>
      </c>
      <c r="Q66" s="29">
        <f>+SUM('Cash Flow Statement'!AL20:AN20)</f>
        <v>-395.46307969274005</v>
      </c>
      <c r="R66" s="30">
        <f>SUM(N66:Q66)</f>
        <v>-948.5805192830601</v>
      </c>
      <c r="S66" s="27">
        <f>+SUM('Cash Flow Statement'!AO20:AQ20)</f>
        <v>-395.46307969274</v>
      </c>
      <c r="T66" s="28">
        <f>+SUM('Cash Flow Statement'!AR20:AT20)</f>
        <v>-395.46307969274</v>
      </c>
      <c r="U66" s="28">
        <f>+SUM('Cash Flow Statement'!AU20:AW20)</f>
        <v>-395.46307969274</v>
      </c>
      <c r="V66" s="29">
        <f>+SUM('Cash Flow Statement'!AX20:AZ20)</f>
        <v>-395.46307969274005</v>
      </c>
      <c r="W66" s="30">
        <f>SUM(S66:V66)</f>
        <v>-1581.8523187709602</v>
      </c>
      <c r="X66" s="27">
        <f>+SUM('Cash Flow Statement'!BA20:BC20)</f>
        <v>-395.46307969274005</v>
      </c>
      <c r="Y66" s="28">
        <f>+SUM('Cash Flow Statement'!BD20:BF20)</f>
        <v>-395.46307969274005</v>
      </c>
      <c r="Z66" s="28">
        <f>+SUM('Cash Flow Statement'!BG20:BI20)</f>
        <v>-395.46307969274005</v>
      </c>
      <c r="AA66" s="29">
        <f>+SUM('Cash Flow Statement'!BJ20:BL20)</f>
        <v>-395.46307969274005</v>
      </c>
      <c r="AB66" s="30">
        <f>SUM(X66:AA66)</f>
        <v>-1581.8523187709602</v>
      </c>
    </row>
    <row r="67" spans="2:28" s="31" customFormat="1" ht="15.75" outlineLevel="1">
      <c r="B67" s="48" t="s">
        <v>228</v>
      </c>
      <c r="C67" s="77">
        <f>+'Cash Flow Statement'!D21</f>
        <v>0</v>
      </c>
      <c r="D67" s="27">
        <f>+SUM('Cash Flow Statement'!E21:G21)</f>
        <v>0</v>
      </c>
      <c r="E67" s="28">
        <f>+SUM('Cash Flow Statement'!H21:J21)</f>
        <v>0</v>
      </c>
      <c r="F67" s="28">
        <f>+SUM('Cash Flow Statement'!K21:M21)</f>
        <v>0</v>
      </c>
      <c r="G67" s="29">
        <f>+SUM('Cash Flow Statement'!N21:P21)</f>
        <v>0</v>
      </c>
      <c r="H67" s="77">
        <f aca="true" t="shared" si="52" ref="H67">SUM(D67:G67)</f>
        <v>0</v>
      </c>
      <c r="I67" s="27">
        <f>+SUM('Cash Flow Statement'!Q21:S21)</f>
        <v>0</v>
      </c>
      <c r="J67" s="28">
        <f>+SUM('Cash Flow Statement'!T21:V21)</f>
        <v>0</v>
      </c>
      <c r="K67" s="28">
        <f>+SUM('Cash Flow Statement'!W21:Y21)</f>
        <v>0</v>
      </c>
      <c r="L67" s="29">
        <f>+SUM('Cash Flow Statement'!Z21:AB21)</f>
        <v>0</v>
      </c>
      <c r="M67" s="77">
        <f aca="true" t="shared" si="53" ref="M67">SUM(I67:L67)</f>
        <v>0</v>
      </c>
      <c r="N67" s="27">
        <f>+SUM('Cash Flow Statement'!AC21:AE21)</f>
        <v>0</v>
      </c>
      <c r="O67" s="28">
        <f>+SUM('Cash Flow Statement'!AF21:AH21)</f>
        <v>0</v>
      </c>
      <c r="P67" s="28">
        <f>+SUM('Cash Flow Statement'!AI21:AK21)</f>
        <v>0</v>
      </c>
      <c r="Q67" s="29">
        <f>+SUM('Cash Flow Statement'!AL21:AN21)</f>
        <v>0</v>
      </c>
      <c r="R67" s="77">
        <f aca="true" t="shared" si="54" ref="R67">SUM(N67:Q67)</f>
        <v>0</v>
      </c>
      <c r="S67" s="27">
        <f>+SUM('Cash Flow Statement'!AO21:AQ21)</f>
        <v>0</v>
      </c>
      <c r="T67" s="28">
        <f>+SUM('Cash Flow Statement'!AR21:AT21)</f>
        <v>0</v>
      </c>
      <c r="U67" s="28">
        <f>+SUM('Cash Flow Statement'!AU21:AW21)</f>
        <v>0</v>
      </c>
      <c r="V67" s="29">
        <f>+SUM('Cash Flow Statement'!AX21:AZ21)</f>
        <v>0</v>
      </c>
      <c r="W67" s="77">
        <f aca="true" t="shared" si="55" ref="W67">SUM(S67:V67)</f>
        <v>0</v>
      </c>
      <c r="X67" s="27">
        <f>+SUM('Cash Flow Statement'!BA21:BC21)</f>
        <v>0</v>
      </c>
      <c r="Y67" s="28">
        <f>+SUM('Cash Flow Statement'!BD21:BF21)</f>
        <v>0</v>
      </c>
      <c r="Z67" s="28">
        <f>+SUM('Cash Flow Statement'!BG21:BI21)</f>
        <v>0</v>
      </c>
      <c r="AA67" s="29">
        <f>+SUM('Cash Flow Statement'!BJ21:BL21)</f>
        <v>0</v>
      </c>
      <c r="AB67" s="77">
        <f aca="true" t="shared" si="56" ref="AB67">SUM(X67:AA67)</f>
        <v>0</v>
      </c>
    </row>
    <row r="68" spans="2:28" s="31" customFormat="1" ht="15.75" outlineLevel="1">
      <c r="B68" s="48" t="s">
        <v>45</v>
      </c>
      <c r="C68" s="30">
        <f>+'Cash Flow Statement'!D22</f>
        <v>0</v>
      </c>
      <c r="D68" s="27">
        <f>+SUM('Cash Flow Statement'!E22:G22)</f>
        <v>0</v>
      </c>
      <c r="E68" s="28">
        <f>+SUM('Cash Flow Statement'!H22:J22)</f>
        <v>0</v>
      </c>
      <c r="F68" s="28">
        <f>+SUM('Cash Flow Statement'!K22:M22)</f>
        <v>0</v>
      </c>
      <c r="G68" s="29">
        <f>+SUM('Cash Flow Statement'!N22:P22)</f>
        <v>0</v>
      </c>
      <c r="H68" s="30">
        <v>0</v>
      </c>
      <c r="I68" s="27">
        <f>+SUM('Cash Flow Statement'!Q22:S22)</f>
        <v>0</v>
      </c>
      <c r="J68" s="28">
        <f>+SUM('Cash Flow Statement'!T22:V22)</f>
        <v>0</v>
      </c>
      <c r="K68" s="28">
        <f>+SUM('Cash Flow Statement'!W22:Y22)</f>
        <v>0</v>
      </c>
      <c r="L68" s="29">
        <f>+SUM('Cash Flow Statement'!Z22:AB22)</f>
        <v>0</v>
      </c>
      <c r="M68" s="30">
        <v>0</v>
      </c>
      <c r="N68" s="27">
        <f>+SUM('Cash Flow Statement'!AC22:AE22)</f>
        <v>0</v>
      </c>
      <c r="O68" s="28">
        <f>+SUM('Cash Flow Statement'!AF22:AH22)</f>
        <v>0</v>
      </c>
      <c r="P68" s="28">
        <f>+SUM('Cash Flow Statement'!AI22:AK22)</f>
        <v>0</v>
      </c>
      <c r="Q68" s="29">
        <f>+SUM('Cash Flow Statement'!AL22:AN22)</f>
        <v>0</v>
      </c>
      <c r="R68" s="30">
        <v>0</v>
      </c>
      <c r="S68" s="27">
        <f>+SUM('Cash Flow Statement'!AO22:AQ22)</f>
        <v>0</v>
      </c>
      <c r="T68" s="28">
        <f>+SUM('Cash Flow Statement'!AR22:AT22)</f>
        <v>0</v>
      </c>
      <c r="U68" s="28">
        <f>+SUM('Cash Flow Statement'!AU22:AW22)</f>
        <v>0</v>
      </c>
      <c r="V68" s="29">
        <f>+SUM('Cash Flow Statement'!AX22:AZ22)</f>
        <v>0</v>
      </c>
      <c r="W68" s="30">
        <v>0</v>
      </c>
      <c r="X68" s="27">
        <f>+SUM('Cash Flow Statement'!BA22:BC22)</f>
        <v>0</v>
      </c>
      <c r="Y68" s="28">
        <f>+SUM('Cash Flow Statement'!BD22:BF22)</f>
        <v>0</v>
      </c>
      <c r="Z68" s="28">
        <f>+SUM('Cash Flow Statement'!BG22:BI22)</f>
        <v>0</v>
      </c>
      <c r="AA68" s="29">
        <f>+SUM('Cash Flow Statement'!BJ22:BL22)</f>
        <v>0</v>
      </c>
      <c r="AB68" s="30">
        <v>0</v>
      </c>
    </row>
    <row r="69" spans="2:28" ht="15.75">
      <c r="B69" s="75" t="s">
        <v>168</v>
      </c>
      <c r="C69" s="26">
        <f>+'Cash Flow Statement'!D23</f>
        <v>-101204</v>
      </c>
      <c r="D69" s="24">
        <f>+SUM('Cash Flow Statement'!E23:G23)</f>
        <v>-13018.95605679013</v>
      </c>
      <c r="E69" s="23">
        <f>+SUM('Cash Flow Statement'!H23:J23)</f>
        <v>1044.3636333333325</v>
      </c>
      <c r="F69" s="23">
        <f>+SUM('Cash Flow Statement'!K23:M23)</f>
        <v>-10667.173033333336</v>
      </c>
      <c r="G69" s="25">
        <f>+SUM('Cash Flow Statement'!N23:P23)</f>
        <v>-46559.820283333334</v>
      </c>
      <c r="H69" s="26">
        <f>+H63+H64</f>
        <v>-69201.58574012347</v>
      </c>
      <c r="I69" s="24">
        <f>+SUM('Cash Flow Statement'!Q23:S23)</f>
        <v>-55796.85053666668</v>
      </c>
      <c r="J69" s="23">
        <f>+SUM('Cash Flow Statement'!T23:V23)</f>
        <v>-22128.6713</v>
      </c>
      <c r="K69" s="23">
        <f>+SUM('Cash Flow Statement'!W23:Y23)</f>
        <v>-11884.281705000027</v>
      </c>
      <c r="L69" s="25">
        <f>+SUM('Cash Flow Statement'!Z23:AB23)</f>
        <v>-3421.4664049999974</v>
      </c>
      <c r="M69" s="26">
        <f>+M63+M64</f>
        <v>-93231.26994666673</v>
      </c>
      <c r="N69" s="24">
        <f>+SUM('Cash Flow Statement'!AC23:AE23)</f>
        <v>-52436.44248999996</v>
      </c>
      <c r="O69" s="23">
        <f>+SUM('Cash Flow Statement'!AF23:AH23)</f>
        <v>-7564.713614897534</v>
      </c>
      <c r="P69" s="23">
        <f>+SUM('Cash Flow Statement'!AI23:AK23)</f>
        <v>5476.6680153072975</v>
      </c>
      <c r="Q69" s="25">
        <f>+SUM('Cash Flow Statement'!AL23:AN23)</f>
        <v>20747.149020307304</v>
      </c>
      <c r="R69" s="26">
        <f>+R63+R64</f>
        <v>-33777.3390692829</v>
      </c>
      <c r="S69" s="24">
        <f>+SUM('Cash Flow Statement'!AO23:AQ23)</f>
        <v>666.4382303072925</v>
      </c>
      <c r="T69" s="23">
        <f>+SUM('Cash Flow Statement'!AR23:AT23)</f>
        <v>67396.76861030726</v>
      </c>
      <c r="U69" s="23">
        <f>+SUM('Cash Flow Statement'!AU23:AW23)</f>
        <v>108096.06934030727</v>
      </c>
      <c r="V69" s="25">
        <f>+SUM('Cash Flow Statement'!AX23:AZ23)</f>
        <v>136564.44161530727</v>
      </c>
      <c r="W69" s="26">
        <f>+W63+W64</f>
        <v>312723.7177962292</v>
      </c>
      <c r="X69" s="24">
        <f>+SUM('Cash Flow Statement'!BA23:BC23)</f>
        <v>120235.78173397401</v>
      </c>
      <c r="Y69" s="23">
        <f>+SUM('Cash Flow Statement'!BD23:BF23)</f>
        <v>207754.6077553073</v>
      </c>
      <c r="Z69" s="23">
        <f>+SUM('Cash Flow Statement'!BG23:BI23)</f>
        <v>175692.6716536085</v>
      </c>
      <c r="AA69" s="25">
        <f>+SUM('Cash Flow Statement'!BJ23:BL23)</f>
        <v>329764.9869053073</v>
      </c>
      <c r="AB69" s="26">
        <f>+AB63+AB64</f>
        <v>833448.0480481971</v>
      </c>
    </row>
    <row r="70" spans="2:28" ht="15.75">
      <c r="B70" s="47" t="s">
        <v>46</v>
      </c>
      <c r="C70" s="26">
        <f>+'Cash Flow Statement'!D24</f>
        <v>0</v>
      </c>
      <c r="D70" s="24">
        <f>+SUM('Cash Flow Statement'!E24:G24)</f>
        <v>0</v>
      </c>
      <c r="E70" s="23">
        <f>+SUM('Cash Flow Statement'!H24:J24)</f>
        <v>0</v>
      </c>
      <c r="F70" s="23">
        <f>+SUM('Cash Flow Statement'!K24:M24)</f>
        <v>0</v>
      </c>
      <c r="G70" s="25">
        <f>+SUM('Cash Flow Statement'!N24:P24)</f>
        <v>0</v>
      </c>
      <c r="H70" s="26">
        <v>0</v>
      </c>
      <c r="I70" s="24">
        <f>+SUM('Cash Flow Statement'!Q24:S24)</f>
        <v>0</v>
      </c>
      <c r="J70" s="23">
        <f>+SUM('Cash Flow Statement'!T24:V24)</f>
        <v>0</v>
      </c>
      <c r="K70" s="23">
        <f>+SUM('Cash Flow Statement'!W24:Y24)</f>
        <v>0</v>
      </c>
      <c r="L70" s="25">
        <f>+SUM('Cash Flow Statement'!Z24:AB24)</f>
        <v>0</v>
      </c>
      <c r="M70" s="26">
        <v>0</v>
      </c>
      <c r="N70" s="24">
        <f>+SUM('Cash Flow Statement'!AC24:AE24)</f>
        <v>0</v>
      </c>
      <c r="O70" s="23">
        <f>+SUM('Cash Flow Statement'!AF24:AH24)</f>
        <v>0</v>
      </c>
      <c r="P70" s="23">
        <f>+SUM('Cash Flow Statement'!AI24:AK24)</f>
        <v>0</v>
      </c>
      <c r="Q70" s="25">
        <f>+SUM('Cash Flow Statement'!AL24:AN24)</f>
        <v>0</v>
      </c>
      <c r="R70" s="26">
        <v>0</v>
      </c>
      <c r="S70" s="24">
        <f>+SUM('Cash Flow Statement'!AO24:AQ24)</f>
        <v>0</v>
      </c>
      <c r="T70" s="23">
        <f>+SUM('Cash Flow Statement'!AR24:AT24)</f>
        <v>0</v>
      </c>
      <c r="U70" s="23">
        <f>+SUM('Cash Flow Statement'!AU24:AW24)</f>
        <v>0</v>
      </c>
      <c r="V70" s="25">
        <f>+SUM('Cash Flow Statement'!AX24:AZ24)</f>
        <v>0</v>
      </c>
      <c r="W70" s="26">
        <v>0</v>
      </c>
      <c r="X70" s="24">
        <f>+SUM('Cash Flow Statement'!BA24:BC24)</f>
        <v>0</v>
      </c>
      <c r="Y70" s="23">
        <f>+SUM('Cash Flow Statement'!BD24:BF24)</f>
        <v>0</v>
      </c>
      <c r="Z70" s="23">
        <f>+SUM('Cash Flow Statement'!BG24:BI24)</f>
        <v>0</v>
      </c>
      <c r="AA70" s="25">
        <f>+SUM('Cash Flow Statement'!BJ24:BL24)</f>
        <v>0</v>
      </c>
      <c r="AB70" s="26">
        <v>0</v>
      </c>
    </row>
    <row r="71" spans="2:28" ht="16.05" customHeight="1">
      <c r="B71" s="74" t="s">
        <v>47</v>
      </c>
      <c r="C71" s="26">
        <f>+'Cash Flow Statement'!D25</f>
        <v>144956</v>
      </c>
      <c r="D71" s="368">
        <f>+SUM('Cash Flow Statement'!E25:G25)</f>
        <v>0</v>
      </c>
      <c r="E71" s="23">
        <f>+SUM('Cash Flow Statement'!H25:J25)</f>
        <v>0</v>
      </c>
      <c r="F71" s="23">
        <f>+SUM('Cash Flow Statement'!K25:M25)</f>
        <v>0</v>
      </c>
      <c r="G71" s="25">
        <f>+SUM('Cash Flow Statement'!N25:P25)</f>
        <v>200000</v>
      </c>
      <c r="H71" s="26">
        <f>+SUM(D71:G71)</f>
        <v>200000</v>
      </c>
      <c r="I71" s="368">
        <f>+SUM('Cash Flow Statement'!Q25:S25)</f>
        <v>0</v>
      </c>
      <c r="J71" s="23">
        <f>+SUM('Cash Flow Statement'!T25:V25)</f>
        <v>0</v>
      </c>
      <c r="K71" s="23">
        <f>+SUM('Cash Flow Statement'!W25:Y25)</f>
        <v>0</v>
      </c>
      <c r="L71" s="25">
        <f>+SUM('Cash Flow Statement'!Z25:AB25)</f>
        <v>0</v>
      </c>
      <c r="M71" s="26">
        <f>+SUM(I71:L71)</f>
        <v>0</v>
      </c>
      <c r="N71" s="368">
        <f>+SUM('Cash Flow Statement'!AC25:AE25)</f>
        <v>0</v>
      </c>
      <c r="O71" s="23">
        <f>+SUM('Cash Flow Statement'!AF25:AH25)</f>
        <v>0</v>
      </c>
      <c r="P71" s="23">
        <f>+SUM('Cash Flow Statement'!AI25:AK25)</f>
        <v>0</v>
      </c>
      <c r="Q71" s="25">
        <f>+SUM('Cash Flow Statement'!AL25:AN25)</f>
        <v>0</v>
      </c>
      <c r="R71" s="26">
        <f>+SUM(N71:Q71)</f>
        <v>0</v>
      </c>
      <c r="S71" s="368">
        <f>+SUM('Cash Flow Statement'!AO25:AQ25)</f>
        <v>0</v>
      </c>
      <c r="T71" s="23">
        <f>+SUM('Cash Flow Statement'!AR25:AT25)</f>
        <v>0</v>
      </c>
      <c r="U71" s="23">
        <f>+SUM('Cash Flow Statement'!AU25:AW25)</f>
        <v>0</v>
      </c>
      <c r="V71" s="25">
        <f>+SUM('Cash Flow Statement'!AX25:AZ25)</f>
        <v>0</v>
      </c>
      <c r="W71" s="26">
        <f>+SUM(S71:V71)</f>
        <v>0</v>
      </c>
      <c r="X71" s="368">
        <f>+SUM('Cash Flow Statement'!BA25:BC25)</f>
        <v>0</v>
      </c>
      <c r="Y71" s="23">
        <f>+SUM('Cash Flow Statement'!BD25:BF25)</f>
        <v>0</v>
      </c>
      <c r="Z71" s="23">
        <f>+SUM('Cash Flow Statement'!BG25:BI25)</f>
        <v>0</v>
      </c>
      <c r="AA71" s="25">
        <f>+SUM('Cash Flow Statement'!BJ25:BL25)</f>
        <v>0</v>
      </c>
      <c r="AB71" s="26">
        <f>+SUM(X71:AA71)</f>
        <v>0</v>
      </c>
    </row>
    <row r="72" spans="2:28" ht="15.75">
      <c r="B72" s="49" t="s">
        <v>169</v>
      </c>
      <c r="C72" s="44">
        <f>+'Cash Flow Statement'!D26</f>
        <v>43752</v>
      </c>
      <c r="D72" s="41">
        <f>+D69+D70+D71</f>
        <v>-13018.95605679013</v>
      </c>
      <c r="E72" s="42">
        <f aca="true" t="shared" si="57" ref="E72:G72">+E69+E70+E71</f>
        <v>1044.3636333333325</v>
      </c>
      <c r="F72" s="42">
        <f t="shared" si="57"/>
        <v>-10667.173033333336</v>
      </c>
      <c r="G72" s="43">
        <f t="shared" si="57"/>
        <v>153440.17971666667</v>
      </c>
      <c r="H72" s="44">
        <f>+H69-H70+H71</f>
        <v>130798.41425987653</v>
      </c>
      <c r="I72" s="41">
        <f>+SUM('Cash Flow Statement'!Q26:S26)</f>
        <v>-55796.85053666668</v>
      </c>
      <c r="J72" s="42">
        <f>+SUM('Cash Flow Statement'!T26:V26)</f>
        <v>-22128.6713</v>
      </c>
      <c r="K72" s="42">
        <f>+SUM('Cash Flow Statement'!W26:Y26)</f>
        <v>-11884.281705000027</v>
      </c>
      <c r="L72" s="43">
        <f>+SUM('Cash Flow Statement'!Z26:AB26)</f>
        <v>-3421.4664049999974</v>
      </c>
      <c r="M72" s="44">
        <f>+M69-M70+M71</f>
        <v>-93231.26994666673</v>
      </c>
      <c r="N72" s="41">
        <f>+SUM('Cash Flow Statement'!AC26:AE26)</f>
        <v>-52436.44248999996</v>
      </c>
      <c r="O72" s="42">
        <f>+SUM('Cash Flow Statement'!AF26:AH26)</f>
        <v>-7564.713614897534</v>
      </c>
      <c r="P72" s="42">
        <f>+SUM('Cash Flow Statement'!AI26:AK26)</f>
        <v>5476.6680153072975</v>
      </c>
      <c r="Q72" s="43">
        <f>+SUM('Cash Flow Statement'!AL26:AN26)</f>
        <v>20747.149020307304</v>
      </c>
      <c r="R72" s="44">
        <f>+R69-R70+R71</f>
        <v>-33777.3390692829</v>
      </c>
      <c r="S72" s="41">
        <f>+SUM('Cash Flow Statement'!AO26:AQ26)</f>
        <v>666.4382303072925</v>
      </c>
      <c r="T72" s="42">
        <f>+SUM('Cash Flow Statement'!AR26:AT26)</f>
        <v>67396.76861030726</v>
      </c>
      <c r="U72" s="42">
        <f>+SUM('Cash Flow Statement'!AU26:AW26)</f>
        <v>108096.06934030727</v>
      </c>
      <c r="V72" s="43">
        <f>+SUM('Cash Flow Statement'!AX26:AZ26)</f>
        <v>136564.44161530727</v>
      </c>
      <c r="W72" s="44">
        <f>+W69-W70+W71</f>
        <v>312723.7177962292</v>
      </c>
      <c r="X72" s="41">
        <f>+SUM('Cash Flow Statement'!BA26:BC26)</f>
        <v>120235.78173397401</v>
      </c>
      <c r="Y72" s="42">
        <f>+SUM('Cash Flow Statement'!BD26:BF26)</f>
        <v>207754.6077553073</v>
      </c>
      <c r="Z72" s="42">
        <f>+SUM('Cash Flow Statement'!BG26:BI26)</f>
        <v>175692.6716536085</v>
      </c>
      <c r="AA72" s="43">
        <f>+SUM('Cash Flow Statement'!BJ26:BL26)</f>
        <v>329764.9869053073</v>
      </c>
      <c r="AB72" s="44">
        <f>+AB69-AB70+AB71</f>
        <v>833448.0480481971</v>
      </c>
    </row>
    <row r="73" spans="2:28" ht="15.75">
      <c r="B73" s="78"/>
      <c r="C73" s="78"/>
      <c r="D73" s="34"/>
      <c r="E73" s="34"/>
      <c r="F73" s="34"/>
      <c r="G73" s="34"/>
      <c r="H73" s="79"/>
      <c r="I73" s="34"/>
      <c r="J73" s="34"/>
      <c r="K73" s="34"/>
      <c r="L73" s="34"/>
      <c r="M73" s="79"/>
      <c r="N73" s="34"/>
      <c r="O73" s="34"/>
      <c r="P73" s="34"/>
      <c r="Q73" s="34"/>
      <c r="R73" s="79"/>
      <c r="S73" s="34"/>
      <c r="T73" s="34"/>
      <c r="U73" s="34"/>
      <c r="V73" s="34"/>
      <c r="W73" s="79"/>
      <c r="X73" s="34"/>
      <c r="Y73" s="34"/>
      <c r="Z73" s="34"/>
      <c r="AA73" s="34"/>
      <c r="AB73" s="79"/>
    </row>
    <row r="74" spans="2:28" ht="15.75">
      <c r="B74" s="80" t="s">
        <v>38</v>
      </c>
      <c r="C74" s="130">
        <f>+C72+'Cash Flow Statement'!C28</f>
        <v>44738</v>
      </c>
      <c r="D74" s="130">
        <f>+D72+C74</f>
        <v>31719.043943209872</v>
      </c>
      <c r="E74" s="130">
        <f>+E72+D74</f>
        <v>32763.407576543206</v>
      </c>
      <c r="F74" s="130">
        <f>+F72+E74</f>
        <v>22096.23454320987</v>
      </c>
      <c r="G74" s="130">
        <f>+G72+F74</f>
        <v>175536.41425987653</v>
      </c>
      <c r="H74" s="314">
        <f>+G74</f>
        <v>175536.41425987653</v>
      </c>
      <c r="I74" s="130">
        <f>+I72+G74</f>
        <v>119739.56372320985</v>
      </c>
      <c r="J74" s="130">
        <f>+J72+I74</f>
        <v>97610.89242320985</v>
      </c>
      <c r="K74" s="130">
        <f>+K72+J74</f>
        <v>85726.61071820982</v>
      </c>
      <c r="L74" s="130">
        <f>+L72+K74</f>
        <v>82305.14431320982</v>
      </c>
      <c r="M74" s="314">
        <f>+L74</f>
        <v>82305.14431320982</v>
      </c>
      <c r="N74" s="130">
        <f>+N72+L74</f>
        <v>29868.701823209864</v>
      </c>
      <c r="O74" s="130">
        <f>+O72+N74</f>
        <v>22303.98820831233</v>
      </c>
      <c r="P74" s="130">
        <f>+P72+O74</f>
        <v>27780.656223619626</v>
      </c>
      <c r="Q74" s="130">
        <f>+Q72+P74</f>
        <v>48527.80524392693</v>
      </c>
      <c r="R74" s="314">
        <f>+Q74</f>
        <v>48527.80524392693</v>
      </c>
      <c r="S74" s="130">
        <f>+S72+Q74</f>
        <v>49194.24347423422</v>
      </c>
      <c r="T74" s="130">
        <f>+T72+S74</f>
        <v>116591.0120845415</v>
      </c>
      <c r="U74" s="130">
        <f>+U72+T74</f>
        <v>224687.08142484876</v>
      </c>
      <c r="V74" s="130">
        <f>+V72+U74</f>
        <v>361251.523040156</v>
      </c>
      <c r="W74" s="314">
        <f>+V74</f>
        <v>361251.523040156</v>
      </c>
      <c r="X74" s="130">
        <f>+X72+V74</f>
        <v>481487.30477413</v>
      </c>
      <c r="Y74" s="130">
        <f>+Y72+X74</f>
        <v>689241.9125294373</v>
      </c>
      <c r="Z74" s="130">
        <f>+Z72+Y74</f>
        <v>864934.5841830459</v>
      </c>
      <c r="AA74" s="130">
        <f>+AA72+Z74</f>
        <v>1194699.5710883532</v>
      </c>
      <c r="AB74" s="314">
        <f>+AA74</f>
        <v>1194699.5710883532</v>
      </c>
    </row>
    <row r="76" spans="2:27" ht="15.75">
      <c r="B76" s="53"/>
      <c r="C76" s="53"/>
      <c r="D76" s="131"/>
      <c r="E76" s="51"/>
      <c r="F76" s="51"/>
      <c r="G76" s="54"/>
      <c r="H76" s="478"/>
      <c r="I76" s="131"/>
      <c r="J76" s="51"/>
      <c r="K76" s="51"/>
      <c r="L76" s="54"/>
      <c r="M76" s="50"/>
      <c r="N76" s="131"/>
      <c r="O76" s="51"/>
      <c r="P76" s="51"/>
      <c r="Q76" s="54"/>
      <c r="R76" s="50"/>
      <c r="S76" s="131"/>
      <c r="T76" s="51"/>
      <c r="U76" s="51"/>
      <c r="V76" s="54"/>
      <c r="W76" s="50"/>
      <c r="X76" s="50"/>
      <c r="Y76" s="50"/>
      <c r="Z76" s="50"/>
      <c r="AA76" s="50"/>
    </row>
    <row r="77" spans="1:27" ht="15.75">
      <c r="A77" s="5">
        <v>4</v>
      </c>
      <c r="B77" s="45" t="s">
        <v>24</v>
      </c>
      <c r="C77" s="45"/>
      <c r="D77" s="398"/>
      <c r="E77" s="51"/>
      <c r="F77" s="51"/>
      <c r="G77" s="54"/>
      <c r="H77" s="50"/>
      <c r="I77" s="131"/>
      <c r="J77" s="51"/>
      <c r="K77" s="51"/>
      <c r="L77" s="54"/>
      <c r="M77" s="50"/>
      <c r="N77" s="131"/>
      <c r="O77" s="51"/>
      <c r="P77" s="51"/>
      <c r="Q77" s="54"/>
      <c r="R77" s="50"/>
      <c r="S77" s="131"/>
      <c r="T77" s="51"/>
      <c r="U77" s="51"/>
      <c r="V77" s="54"/>
      <c r="W77" s="50"/>
      <c r="X77" s="50"/>
      <c r="Y77" s="50"/>
      <c r="Z77" s="50"/>
      <c r="AA77" s="50"/>
    </row>
    <row r="78" spans="2:27" ht="15.75">
      <c r="B78" s="53"/>
      <c r="C78" s="53"/>
      <c r="D78" s="131"/>
      <c r="E78" s="51"/>
      <c r="F78" s="51"/>
      <c r="G78" s="54"/>
      <c r="H78" s="50"/>
      <c r="I78" s="131"/>
      <c r="J78" s="51"/>
      <c r="K78" s="51"/>
      <c r="L78" s="54"/>
      <c r="M78" s="50"/>
      <c r="N78" s="131"/>
      <c r="O78" s="51"/>
      <c r="P78" s="51"/>
      <c r="Q78" s="54"/>
      <c r="R78" s="50"/>
      <c r="S78" s="131"/>
      <c r="T78" s="51"/>
      <c r="U78" s="51"/>
      <c r="V78" s="54"/>
      <c r="W78" s="50"/>
      <c r="X78" s="50"/>
      <c r="Y78" s="50"/>
      <c r="Z78" s="50"/>
      <c r="AA78" s="50"/>
    </row>
    <row r="79" spans="2:28" ht="15.75">
      <c r="B79" s="1490" t="s">
        <v>25</v>
      </c>
      <c r="C79" s="1497">
        <f>+C49</f>
        <v>2019</v>
      </c>
      <c r="D79" s="1494">
        <f>+D49</f>
        <v>2020</v>
      </c>
      <c r="E79" s="1495"/>
      <c r="F79" s="1495"/>
      <c r="G79" s="1496"/>
      <c r="H79" s="1497">
        <f>+D79</f>
        <v>2020</v>
      </c>
      <c r="I79" s="1494">
        <f>1+D79</f>
        <v>2021</v>
      </c>
      <c r="J79" s="1495"/>
      <c r="K79" s="1495"/>
      <c r="L79" s="1496"/>
      <c r="M79" s="1497">
        <f>+I79</f>
        <v>2021</v>
      </c>
      <c r="N79" s="1494">
        <f>1+I79</f>
        <v>2022</v>
      </c>
      <c r="O79" s="1495"/>
      <c r="P79" s="1495"/>
      <c r="Q79" s="1496"/>
      <c r="R79" s="1497">
        <f>+N79</f>
        <v>2022</v>
      </c>
      <c r="S79" s="1494">
        <f>1+N79</f>
        <v>2023</v>
      </c>
      <c r="T79" s="1495"/>
      <c r="U79" s="1495"/>
      <c r="V79" s="1496"/>
      <c r="W79" s="1497">
        <f>+S79</f>
        <v>2023</v>
      </c>
      <c r="X79" s="1494">
        <f>1+S79</f>
        <v>2024</v>
      </c>
      <c r="Y79" s="1495"/>
      <c r="Z79" s="1495"/>
      <c r="AA79" s="1496"/>
      <c r="AB79" s="1497">
        <f>+X79</f>
        <v>2024</v>
      </c>
    </row>
    <row r="80" spans="2:28" s="18" customFormat="1" ht="15.75">
      <c r="B80" s="1493"/>
      <c r="C80" s="1498"/>
      <c r="D80" s="311" t="s">
        <v>4</v>
      </c>
      <c r="E80" s="132" t="s">
        <v>5</v>
      </c>
      <c r="F80" s="132" t="s">
        <v>6</v>
      </c>
      <c r="G80" s="310" t="s">
        <v>7</v>
      </c>
      <c r="H80" s="1498"/>
      <c r="I80" s="311" t="s">
        <v>4</v>
      </c>
      <c r="J80" s="132" t="s">
        <v>5</v>
      </c>
      <c r="K80" s="132" t="s">
        <v>6</v>
      </c>
      <c r="L80" s="310" t="s">
        <v>7</v>
      </c>
      <c r="M80" s="1498"/>
      <c r="N80" s="311" t="s">
        <v>4</v>
      </c>
      <c r="O80" s="132" t="s">
        <v>5</v>
      </c>
      <c r="P80" s="132" t="s">
        <v>6</v>
      </c>
      <c r="Q80" s="310" t="s">
        <v>7</v>
      </c>
      <c r="R80" s="1498"/>
      <c r="S80" s="311" t="s">
        <v>4</v>
      </c>
      <c r="T80" s="132" t="s">
        <v>5</v>
      </c>
      <c r="U80" s="132" t="s">
        <v>6</v>
      </c>
      <c r="V80" s="310" t="s">
        <v>7</v>
      </c>
      <c r="W80" s="1498"/>
      <c r="X80" s="311" t="s">
        <v>4</v>
      </c>
      <c r="Y80" s="132" t="s">
        <v>5</v>
      </c>
      <c r="Z80" s="132" t="s">
        <v>6</v>
      </c>
      <c r="AA80" s="310" t="s">
        <v>7</v>
      </c>
      <c r="AB80" s="1498"/>
    </row>
    <row r="81" spans="2:28" s="18" customFormat="1" ht="15.75">
      <c r="B81" s="1491"/>
      <c r="C81" s="70">
        <f>+_xlfn.IFERROR(C36/C17,"-")</f>
        <v>-0.3442557121631932</v>
      </c>
      <c r="D81" s="312" t="str">
        <f aca="true" t="shared" si="58" ref="D81:AB81">+_xlfn.IFERROR(D36/D17,"-")</f>
        <v>-</v>
      </c>
      <c r="E81" s="313">
        <f t="shared" si="58"/>
        <v>-0.6607228868534006</v>
      </c>
      <c r="F81" s="313">
        <f t="shared" si="58"/>
        <v>-3.697163961275424</v>
      </c>
      <c r="G81" s="313">
        <f>+_xlfn.IFERROR(G36/G17,"-")</f>
        <v>-0.6944082585244008</v>
      </c>
      <c r="H81" s="70">
        <f>+_xlfn.IFERROR(H36/H17,"-")</f>
        <v>-1.001830445147579</v>
      </c>
      <c r="I81" s="312">
        <f t="shared" si="58"/>
        <v>-0.25416581655010423</v>
      </c>
      <c r="J81" s="313">
        <f t="shared" si="58"/>
        <v>-0.13896598958577655</v>
      </c>
      <c r="K81" s="313">
        <f t="shared" si="58"/>
        <v>-0.0520847596711613</v>
      </c>
      <c r="L81" s="313">
        <f t="shared" si="58"/>
        <v>0.0047371936184965515</v>
      </c>
      <c r="M81" s="393">
        <f t="shared" si="58"/>
        <v>-0.09735118269138172</v>
      </c>
      <c r="N81" s="312">
        <f t="shared" si="58"/>
        <v>-0.038776215260724924</v>
      </c>
      <c r="O81" s="313">
        <f t="shared" si="58"/>
        <v>0.004185728235617639</v>
      </c>
      <c r="P81" s="313">
        <f t="shared" si="58"/>
        <v>0.050754515014623906</v>
      </c>
      <c r="Q81" s="313">
        <f t="shared" si="58"/>
        <v>0.09856495240479561</v>
      </c>
      <c r="R81" s="393">
        <f t="shared" si="58"/>
        <v>0.03201755290182965</v>
      </c>
      <c r="S81" s="312">
        <f t="shared" si="58"/>
        <v>0.12752537661813781</v>
      </c>
      <c r="T81" s="313">
        <f t="shared" si="58"/>
        <v>0.16724769606881817</v>
      </c>
      <c r="U81" s="313">
        <f t="shared" si="58"/>
        <v>0.22187032944182222</v>
      </c>
      <c r="V81" s="313">
        <f t="shared" si="58"/>
        <v>0.26075934391181765</v>
      </c>
      <c r="W81" s="393">
        <f t="shared" si="58"/>
        <v>0.19961686443196247</v>
      </c>
      <c r="X81" s="312">
        <f t="shared" si="58"/>
        <v>0.23398990787582027</v>
      </c>
      <c r="Y81" s="313">
        <f t="shared" si="58"/>
        <v>0.27150181361098424</v>
      </c>
      <c r="Z81" s="313">
        <f t="shared" si="58"/>
        <v>0.31448066771140176</v>
      </c>
      <c r="AA81" s="313">
        <f t="shared" si="58"/>
        <v>0.3522517377332757</v>
      </c>
      <c r="AB81" s="393">
        <f t="shared" si="58"/>
        <v>0.29738931080866177</v>
      </c>
    </row>
    <row r="82" spans="4:22" ht="15.75">
      <c r="D82" s="132"/>
      <c r="E82" s="55"/>
      <c r="F82" s="55"/>
      <c r="G82" s="55"/>
      <c r="I82" s="132"/>
      <c r="J82" s="55"/>
      <c r="K82" s="55"/>
      <c r="L82" s="55"/>
      <c r="N82" s="132"/>
      <c r="O82" s="55"/>
      <c r="P82" s="55"/>
      <c r="Q82" s="55"/>
      <c r="S82" s="132"/>
      <c r="T82" s="55"/>
      <c r="U82" s="55"/>
      <c r="V82" s="55"/>
    </row>
    <row r="83" ht="15.75">
      <c r="AB83" s="242"/>
    </row>
    <row r="84" spans="1:27" s="2" customFormat="1" ht="15.75">
      <c r="A84" s="5">
        <v>5</v>
      </c>
      <c r="B84" s="45" t="s">
        <v>387</v>
      </c>
      <c r="C84" s="45"/>
      <c r="D84" s="398"/>
      <c r="E84" s="51"/>
      <c r="F84" s="51"/>
      <c r="G84" s="1049"/>
      <c r="H84" s="502"/>
      <c r="I84" s="131"/>
      <c r="J84" s="51"/>
      <c r="K84" s="51"/>
      <c r="L84" s="1049"/>
      <c r="M84" s="502"/>
      <c r="N84" s="131"/>
      <c r="O84" s="51"/>
      <c r="P84" s="51"/>
      <c r="Q84" s="1049"/>
      <c r="R84" s="88"/>
      <c r="S84" s="131"/>
      <c r="T84" s="51"/>
      <c r="U84" s="51"/>
      <c r="V84" s="1049"/>
      <c r="W84" s="502"/>
      <c r="X84" s="502"/>
      <c r="Y84" s="502"/>
      <c r="Z84" s="502"/>
      <c r="AA84" s="502"/>
    </row>
    <row r="85" spans="2:27" s="2" customFormat="1" ht="15.75">
      <c r="B85" s="53"/>
      <c r="C85" s="53"/>
      <c r="D85" s="131"/>
      <c r="E85" s="51"/>
      <c r="F85" s="51"/>
      <c r="G85" s="1049"/>
      <c r="H85" s="502"/>
      <c r="I85" s="131"/>
      <c r="J85" s="51"/>
      <c r="K85" s="51"/>
      <c r="L85" s="1049"/>
      <c r="M85" s="502"/>
      <c r="N85" s="131"/>
      <c r="O85" s="51"/>
      <c r="P85" s="51"/>
      <c r="Q85" s="1049"/>
      <c r="R85" s="502"/>
      <c r="S85" s="131"/>
      <c r="T85" s="51"/>
      <c r="U85" s="51"/>
      <c r="V85" s="1049"/>
      <c r="W85" s="502"/>
      <c r="X85" s="502"/>
      <c r="Y85" s="502"/>
      <c r="Z85" s="502"/>
      <c r="AA85" s="502"/>
    </row>
    <row r="86" spans="2:28" s="2" customFormat="1" ht="21" customHeight="1">
      <c r="B86" s="1490" t="s">
        <v>388</v>
      </c>
      <c r="C86" s="1050">
        <f>C15</f>
        <v>2019</v>
      </c>
      <c r="D86" s="1050">
        <f>+C86+1</f>
        <v>2020</v>
      </c>
      <c r="E86" s="1050">
        <f aca="true" t="shared" si="59" ref="E86:H86">+D86+1</f>
        <v>2021</v>
      </c>
      <c r="F86" s="1050">
        <f t="shared" si="59"/>
        <v>2022</v>
      </c>
      <c r="G86" s="1050">
        <f t="shared" si="59"/>
        <v>2023</v>
      </c>
      <c r="H86" s="1051">
        <f t="shared" si="59"/>
        <v>2024</v>
      </c>
      <c r="I86" s="1492"/>
      <c r="J86" s="1492"/>
      <c r="K86" s="1492"/>
      <c r="L86" s="1492"/>
      <c r="M86" s="1052"/>
      <c r="N86" s="1492"/>
      <c r="O86" s="1492"/>
      <c r="P86" s="1492"/>
      <c r="Q86" s="1492"/>
      <c r="R86" s="1052"/>
      <c r="S86" s="1492"/>
      <c r="T86" s="1492"/>
      <c r="U86" s="1492"/>
      <c r="V86" s="1492"/>
      <c r="W86" s="1052"/>
      <c r="X86" s="1492"/>
      <c r="Y86" s="1492"/>
      <c r="Z86" s="1492"/>
      <c r="AA86" s="1492"/>
      <c r="AB86" s="1052"/>
    </row>
    <row r="87" spans="2:28" s="81" customFormat="1" ht="25.05" customHeight="1">
      <c r="B87" s="1491"/>
      <c r="C87" s="1053" t="s">
        <v>389</v>
      </c>
      <c r="D87" s="1053">
        <f>+_xlfn.IFERROR((H17-C17)/C17,"-")</f>
        <v>1.590501144440429</v>
      </c>
      <c r="E87" s="1053">
        <f>+_xlfn.IFERROR((M17-H17)/H17,"-")</f>
        <v>7.572268402797961</v>
      </c>
      <c r="F87" s="1053">
        <f>+_xlfn.IFERROR((R17-M17)/M17,"-")</f>
        <v>0.9731868585928497</v>
      </c>
      <c r="G87" s="1053">
        <f>+_xlfn.IFERROR((W17-R17)/R17,"-")</f>
        <v>0.7829924070115806</v>
      </c>
      <c r="H87" s="1054">
        <f>+_xlfn.IFERROR((AB17-W17)/W17,"-")</f>
        <v>0.7231316586050143</v>
      </c>
      <c r="I87" s="1055"/>
      <c r="J87" s="1055"/>
      <c r="K87" s="1055"/>
      <c r="L87" s="1055"/>
      <c r="M87" s="1056"/>
      <c r="N87" s="1055"/>
      <c r="O87" s="1055"/>
      <c r="P87" s="1055"/>
      <c r="Q87" s="1055"/>
      <c r="R87" s="1056"/>
      <c r="S87" s="1055"/>
      <c r="T87" s="1055"/>
      <c r="U87" s="1055"/>
      <c r="V87" s="1055"/>
      <c r="W87" s="1056"/>
      <c r="X87" s="1055"/>
      <c r="Y87" s="1055"/>
      <c r="Z87" s="1055"/>
      <c r="AA87" s="1055"/>
      <c r="AB87" s="1056"/>
    </row>
    <row r="88" spans="2:19" s="2" customFormat="1" ht="21" customHeight="1">
      <c r="B88" s="1490" t="s">
        <v>3</v>
      </c>
      <c r="C88" s="1050">
        <f>C15</f>
        <v>2019</v>
      </c>
      <c r="D88" s="1050">
        <f>+_xlfn.IFERROR(C88+1,"-")</f>
        <v>2020</v>
      </c>
      <c r="E88" s="1050">
        <f aca="true" t="shared" si="60" ref="E88:H88">+D88+1</f>
        <v>2021</v>
      </c>
      <c r="F88" s="1050">
        <f t="shared" si="60"/>
        <v>2022</v>
      </c>
      <c r="G88" s="1050">
        <f t="shared" si="60"/>
        <v>2023</v>
      </c>
      <c r="H88" s="1051">
        <f t="shared" si="60"/>
        <v>2024</v>
      </c>
      <c r="I88" s="81"/>
      <c r="N88" s="81"/>
      <c r="S88" s="81"/>
    </row>
    <row r="89" spans="2:17" s="2" customFormat="1" ht="25.05" customHeight="1">
      <c r="B89" s="1491"/>
      <c r="C89" s="1053" t="s">
        <v>389</v>
      </c>
      <c r="D89" s="1053">
        <f>_xlfn.IFERROR(IF(((H36-C36)/C36)&gt;0,(H36-C36)/C36,(H36-C36)/-C36),"-")</f>
        <v>6.538706905928701</v>
      </c>
      <c r="E89" s="1053">
        <f>_xlfn.IFERROR(IF(((M36-H36)/H36)&gt;0,(M36-H36)/H36,(M36-H36)/-H36),"-")</f>
        <v>0.16700428560302866</v>
      </c>
      <c r="F89" s="1053">
        <f>_xlfn.IFERROR(IF(((R36-M36)/M36)&gt;0,(R36-M36)/M36,(R36-M36)/-M36),"-")</f>
        <v>1.6489557998537239</v>
      </c>
      <c r="G89" s="1053">
        <f>_xlfn.IFERROR(IF(((W36-R36)/R36)&gt;0,(W36-R36)/R36,(W36-R36)/-R36),"-")</f>
        <v>10.116257219436351</v>
      </c>
      <c r="H89" s="1054">
        <f>_xlfn.IFERROR(IF(((AB36-W36)/W36)&gt;0,(AB36-W36)/W36,(AB36-W36)/-W36),"-")</f>
        <v>1.5671224615382742</v>
      </c>
      <c r="L89" s="81"/>
      <c r="Q89" s="81"/>
    </row>
    <row r="90" spans="2:17" s="2" customFormat="1" ht="15.75">
      <c r="B90" s="1057"/>
      <c r="C90" s="1058"/>
      <c r="D90" s="1058"/>
      <c r="E90" s="1058"/>
      <c r="F90" s="1058"/>
      <c r="G90" s="1058"/>
      <c r="H90" s="1058"/>
      <c r="L90" s="81"/>
      <c r="Q90" s="81"/>
    </row>
    <row r="91" spans="2:17" s="2" customFormat="1" ht="15.75">
      <c r="B91" s="1057"/>
      <c r="C91" s="1059"/>
      <c r="D91" s="1059"/>
      <c r="E91" s="1059"/>
      <c r="F91" s="1059"/>
      <c r="G91" s="1059"/>
      <c r="H91" s="1059"/>
      <c r="L91" s="81"/>
      <c r="Q91" s="81"/>
    </row>
    <row r="92" spans="1:17" s="2" customFormat="1" ht="15.75">
      <c r="A92" s="5">
        <v>6</v>
      </c>
      <c r="B92" s="45" t="s">
        <v>390</v>
      </c>
      <c r="C92" s="1060"/>
      <c r="D92" s="1060"/>
      <c r="E92" s="1060"/>
      <c r="F92" s="1061"/>
      <c r="G92" s="1060"/>
      <c r="H92" s="1060"/>
      <c r="J92" s="99"/>
      <c r="L92" s="81"/>
      <c r="Q92" s="81"/>
    </row>
    <row r="93" spans="2:17" s="2" customFormat="1" ht="15.75">
      <c r="B93" s="1057"/>
      <c r="C93" s="1058"/>
      <c r="D93" s="1058"/>
      <c r="E93" s="1058"/>
      <c r="F93" s="1058"/>
      <c r="G93" s="1058"/>
      <c r="H93" s="1058"/>
      <c r="L93" s="81"/>
      <c r="Q93" s="81"/>
    </row>
    <row r="94" spans="2:17" s="2" customFormat="1" ht="15.75">
      <c r="B94" s="1062">
        <f>+E86</f>
        <v>2021</v>
      </c>
      <c r="C94" s="1063">
        <f>+SUM(D69:G69)/12</f>
        <v>-5766.798811676956</v>
      </c>
      <c r="D94" s="1059"/>
      <c r="E94" s="1059"/>
      <c r="F94" s="1059"/>
      <c r="G94" s="1059"/>
      <c r="H94" s="1059"/>
      <c r="L94" s="81"/>
      <c r="Q94" s="81"/>
    </row>
    <row r="95" spans="2:19" s="2" customFormat="1" ht="15.75">
      <c r="B95" s="1062">
        <f>1+B94</f>
        <v>2022</v>
      </c>
      <c r="C95" s="1063">
        <f>+SUM(I69:L69)/12</f>
        <v>-7769.2724955555595</v>
      </c>
      <c r="D95" s="81"/>
      <c r="I95" s="81"/>
      <c r="N95" s="81"/>
      <c r="S95" s="81"/>
    </row>
    <row r="96" spans="2:19" s="2" customFormat="1" ht="15.75">
      <c r="B96" s="1062">
        <f aca="true" t="shared" si="61" ref="B96:B98">1+B95</f>
        <v>2023</v>
      </c>
      <c r="C96" s="1063">
        <f>+SUM(N69:Q69)/12</f>
        <v>-2814.778255773574</v>
      </c>
      <c r="D96" s="967"/>
      <c r="E96" s="99"/>
      <c r="I96" s="81"/>
      <c r="N96" s="81"/>
      <c r="S96" s="81"/>
    </row>
    <row r="97" spans="2:19" s="2" customFormat="1" ht="15.75">
      <c r="B97" s="1062">
        <f t="shared" si="61"/>
        <v>2024</v>
      </c>
      <c r="C97" s="1063">
        <f>+SUM(S69:V69)/12</f>
        <v>26060.309816352423</v>
      </c>
      <c r="D97" s="967"/>
      <c r="E97" s="99"/>
      <c r="I97" s="81"/>
      <c r="N97" s="81"/>
      <c r="S97" s="81"/>
    </row>
    <row r="98" spans="2:19" s="2" customFormat="1" ht="15.75">
      <c r="B98" s="1062">
        <f t="shared" si="61"/>
        <v>2025</v>
      </c>
      <c r="C98" s="1063">
        <f>+SUM(X69:AA69)/12</f>
        <v>69454.00400401642</v>
      </c>
      <c r="D98" s="967"/>
      <c r="E98" s="99"/>
      <c r="I98" s="81"/>
      <c r="N98" s="81"/>
      <c r="S98" s="81"/>
    </row>
    <row r="99" ht="15.75">
      <c r="C99" s="99"/>
    </row>
    <row r="100" ht="15.75">
      <c r="C100" s="968"/>
    </row>
    <row r="101" spans="1:19" s="2" customFormat="1" ht="15.75">
      <c r="A101" s="5">
        <v>7</v>
      </c>
      <c r="B101" s="45" t="s">
        <v>391</v>
      </c>
      <c r="D101" s="81"/>
      <c r="I101" s="81"/>
      <c r="N101" s="81"/>
      <c r="S101" s="81"/>
    </row>
    <row r="102" spans="4:19" s="2" customFormat="1" ht="15.75">
      <c r="D102" s="81"/>
      <c r="I102" s="81"/>
      <c r="N102" s="81"/>
      <c r="S102" s="81"/>
    </row>
    <row r="103" spans="2:19" s="2" customFormat="1" ht="15.75">
      <c r="B103" s="1065" t="s">
        <v>171</v>
      </c>
      <c r="C103" s="331">
        <f>+G24+SUM(I24:L24)</f>
        <v>233069.16599999997</v>
      </c>
      <c r="D103" s="1066">
        <f>+C103/$C$109</f>
        <v>0.3071553687890928</v>
      </c>
      <c r="E103" s="331">
        <f>+$H$71*D103</f>
        <v>61431.07375781856</v>
      </c>
      <c r="I103" s="81"/>
      <c r="N103" s="81"/>
      <c r="S103" s="81"/>
    </row>
    <row r="104" spans="2:19" s="2" customFormat="1" ht="15.75">
      <c r="B104" s="1065" t="s">
        <v>9</v>
      </c>
      <c r="C104" s="331">
        <f>+G32+I32+J32+K32+L32</f>
        <v>145050</v>
      </c>
      <c r="D104" s="1066">
        <f aca="true" t="shared" si="62" ref="D104:D108">+C104/$C$109</f>
        <v>0.19115735902559464</v>
      </c>
      <c r="E104" s="331">
        <f aca="true" t="shared" si="63" ref="E104:E108">+$H$71*D104</f>
        <v>38231.47180511893</v>
      </c>
      <c r="I104" s="81"/>
      <c r="N104" s="81"/>
      <c r="S104" s="81"/>
    </row>
    <row r="105" spans="2:19" s="2" customFormat="1" ht="15.75">
      <c r="B105" s="1065" t="s">
        <v>10</v>
      </c>
      <c r="C105" s="331">
        <f>+G33+I33+J33+K33+L33</f>
        <v>4750</v>
      </c>
      <c r="D105" s="1066">
        <f t="shared" si="62"/>
        <v>0.0062598928326203</v>
      </c>
      <c r="E105" s="331">
        <f t="shared" si="63"/>
        <v>1251.9785665240602</v>
      </c>
      <c r="I105" s="81"/>
      <c r="N105" s="81"/>
      <c r="S105" s="81"/>
    </row>
    <row r="106" spans="2:19" s="2" customFormat="1" ht="15.75">
      <c r="B106" s="1065" t="s">
        <v>1</v>
      </c>
      <c r="C106" s="331">
        <f>+G34+I34+J34+K34+L34</f>
        <v>109760</v>
      </c>
      <c r="D106" s="1066">
        <f t="shared" si="62"/>
        <v>0.14464964995966403</v>
      </c>
      <c r="E106" s="331">
        <f t="shared" si="63"/>
        <v>28929.929991932808</v>
      </c>
      <c r="I106" s="81"/>
      <c r="N106" s="81"/>
      <c r="S106" s="81"/>
    </row>
    <row r="107" spans="2:19" s="2" customFormat="1" ht="15.75">
      <c r="B107" s="1065" t="s">
        <v>0</v>
      </c>
      <c r="C107" s="331">
        <f>+G35+I35+J35+K35+L35</f>
        <v>204630.28518518517</v>
      </c>
      <c r="D107" s="1066">
        <f t="shared" si="62"/>
        <v>0.2696765590669029</v>
      </c>
      <c r="E107" s="331">
        <f t="shared" si="63"/>
        <v>53935.311813380584</v>
      </c>
      <c r="I107" s="81"/>
      <c r="N107" s="81"/>
      <c r="S107" s="81"/>
    </row>
    <row r="108" spans="2:19" s="2" customFormat="1" ht="15.75">
      <c r="B108" s="1065" t="s">
        <v>336</v>
      </c>
      <c r="C108" s="331">
        <f>-(+G60+I60+J60+K60+L60)</f>
        <v>61539.48148148152</v>
      </c>
      <c r="D108" s="1066">
        <f t="shared" si="62"/>
        <v>0.08110117032612545</v>
      </c>
      <c r="E108" s="331">
        <f t="shared" si="63"/>
        <v>16220.23406522509</v>
      </c>
      <c r="I108" s="81"/>
      <c r="N108" s="81"/>
      <c r="S108" s="81"/>
    </row>
    <row r="109" spans="2:19" s="2" customFormat="1" ht="15.75">
      <c r="B109" s="1029" t="s">
        <v>392</v>
      </c>
      <c r="C109" s="1067">
        <f>+SUM(C103:C108)</f>
        <v>758798.9326666666</v>
      </c>
      <c r="D109" s="1068">
        <f>+C109/$C$109</f>
        <v>1</v>
      </c>
      <c r="E109" s="1067">
        <f>+$H$71*D109</f>
        <v>200000</v>
      </c>
      <c r="I109" s="81"/>
      <c r="N109" s="81"/>
      <c r="S109" s="81"/>
    </row>
    <row r="110" spans="4:19" s="2" customFormat="1" ht="15.75">
      <c r="D110" s="81"/>
      <c r="I110" s="81"/>
      <c r="N110" s="81"/>
      <c r="S110" s="81"/>
    </row>
    <row r="111" spans="4:19" s="2" customFormat="1" ht="15.75">
      <c r="D111" s="81"/>
      <c r="I111" s="81"/>
      <c r="N111" s="81"/>
      <c r="S111" s="81"/>
    </row>
  </sheetData>
  <sheetProtection algorithmName="SHA-512" hashValue="heo/secyHlFLcWUxFvEGLn1VFDtndlyaEJ9M+SV3Ou0DONy6siweAw+JkIrKogW4aP3KJTz6Ol6LN2DN/sUWIA==" saltValue="tYNNcGF8ulnVbZZbGVCnxQ==" spinCount="100000" sheet="1" objects="1" scenarios="1"/>
  <mergeCells count="45">
    <mergeCell ref="X5:Y5"/>
    <mergeCell ref="D5:E5"/>
    <mergeCell ref="D49:G49"/>
    <mergeCell ref="X15:AA15"/>
    <mergeCell ref="X49:AA49"/>
    <mergeCell ref="S5:T5"/>
    <mergeCell ref="I5:J5"/>
    <mergeCell ref="I15:L15"/>
    <mergeCell ref="M15:M16"/>
    <mergeCell ref="I49:L49"/>
    <mergeCell ref="M49:M50"/>
    <mergeCell ref="N5:O5"/>
    <mergeCell ref="N15:Q15"/>
    <mergeCell ref="R15:R16"/>
    <mergeCell ref="N49:Q49"/>
    <mergeCell ref="R49:R50"/>
    <mergeCell ref="AB49:AB50"/>
    <mergeCell ref="X79:AA79"/>
    <mergeCell ref="AB79:AB80"/>
    <mergeCell ref="AB15:AB16"/>
    <mergeCell ref="S79:V79"/>
    <mergeCell ref="W79:W80"/>
    <mergeCell ref="S15:V15"/>
    <mergeCell ref="W15:W16"/>
    <mergeCell ref="S49:V49"/>
    <mergeCell ref="W49:W50"/>
    <mergeCell ref="X86:AA86"/>
    <mergeCell ref="B79:B81"/>
    <mergeCell ref="D15:G15"/>
    <mergeCell ref="H15:H16"/>
    <mergeCell ref="H49:H50"/>
    <mergeCell ref="D79:G79"/>
    <mergeCell ref="H79:H80"/>
    <mergeCell ref="C15:C16"/>
    <mergeCell ref="C79:C80"/>
    <mergeCell ref="C49:C50"/>
    <mergeCell ref="I79:L79"/>
    <mergeCell ref="M79:M80"/>
    <mergeCell ref="N79:Q79"/>
    <mergeCell ref="R79:R80"/>
    <mergeCell ref="B88:B89"/>
    <mergeCell ref="B86:B87"/>
    <mergeCell ref="I86:L86"/>
    <mergeCell ref="N86:Q86"/>
    <mergeCell ref="S86:V86"/>
  </mergeCells>
  <dataValidations count="1">
    <dataValidation type="list" allowBlank="1" showInputMessage="1" showErrorMessage="1" sqref="D2:D3">
      <formula1>"CONSERVATIVE, OPTIMISTIC"</formula1>
    </dataValidation>
  </dataValidations>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68DA4-AA82-4D1C-82D0-0B16547AE3BC}">
  <dimension ref="A1:BW35"/>
  <sheetViews>
    <sheetView zoomScale="78" zoomScaleNormal="78" workbookViewId="0" topLeftCell="A1">
      <pane xSplit="3" ySplit="3" topLeftCell="G4" activePane="bottomRight" state="frozen"/>
      <selection pane="topRight" activeCell="D1" sqref="D1"/>
      <selection pane="bottomLeft" activeCell="A4" sqref="A4"/>
      <selection pane="bottomRight" activeCell="BK5" sqref="BK5"/>
    </sheetView>
  </sheetViews>
  <sheetFormatPr defaultColWidth="8.75390625" defaultRowHeight="15.75"/>
  <cols>
    <col min="1" max="1" width="2.00390625" style="2" customWidth="1"/>
    <col min="2" max="2" width="26.25390625" style="2" customWidth="1"/>
    <col min="3" max="3" width="41.25390625" style="2" customWidth="1"/>
    <col min="4" max="4" width="15.25390625" style="2" hidden="1" customWidth="1"/>
    <col min="5" max="5" width="19.00390625" style="2" hidden="1" customWidth="1"/>
    <col min="6" max="6" width="15.25390625" style="2" hidden="1" customWidth="1"/>
    <col min="7" max="16" width="15.25390625" style="2" customWidth="1"/>
    <col min="17" max="17" width="19.00390625" style="2" bestFit="1" customWidth="1"/>
    <col min="18" max="63" width="15.25390625" style="2" customWidth="1"/>
    <col min="64" max="64" width="8.75390625" style="764" customWidth="1"/>
    <col min="65" max="65" width="11.25390625" style="2" bestFit="1" customWidth="1"/>
    <col min="66" max="67" width="8.75390625" style="2" customWidth="1"/>
    <col min="68" max="68" width="19.75390625" style="2" bestFit="1" customWidth="1"/>
    <col min="69" max="16384" width="8.75390625" style="2" customWidth="1"/>
  </cols>
  <sheetData>
    <row r="1" spans="1:63" ht="16.2" thickBot="1">
      <c r="A1" s="627" t="s">
        <v>58</v>
      </c>
      <c r="B1" s="627"/>
      <c r="C1" s="627"/>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6"/>
      <c r="AO1" s="776"/>
      <c r="AP1" s="776"/>
      <c r="AQ1" s="776"/>
      <c r="AR1" s="776"/>
      <c r="AS1" s="776"/>
      <c r="AT1" s="776"/>
      <c r="AU1" s="776"/>
      <c r="AV1" s="776"/>
      <c r="AW1" s="776"/>
      <c r="AX1" s="763"/>
      <c r="AY1" s="763"/>
      <c r="AZ1" s="776"/>
      <c r="BA1" s="776"/>
      <c r="BB1" s="776"/>
      <c r="BC1" s="776"/>
      <c r="BD1" s="776"/>
      <c r="BE1" s="776"/>
      <c r="BF1" s="776"/>
      <c r="BG1" s="776"/>
      <c r="BH1" s="776"/>
      <c r="BI1" s="776"/>
      <c r="BJ1" s="763"/>
      <c r="BK1" s="81"/>
    </row>
    <row r="2" spans="1:65" ht="16.2" thickBot="1">
      <c r="A2" s="762"/>
      <c r="B2" s="1510"/>
      <c r="C2" s="1511"/>
      <c r="D2" s="1507">
        <f>+Assumptions!D3</f>
        <v>2020</v>
      </c>
      <c r="E2" s="1508"/>
      <c r="F2" s="1508"/>
      <c r="G2" s="1508"/>
      <c r="H2" s="1508"/>
      <c r="I2" s="1508"/>
      <c r="J2" s="1508"/>
      <c r="K2" s="1508"/>
      <c r="L2" s="1508"/>
      <c r="M2" s="1508"/>
      <c r="N2" s="1508"/>
      <c r="O2" s="1509"/>
      <c r="P2" s="1507">
        <f>D2+1</f>
        <v>2021</v>
      </c>
      <c r="Q2" s="1508"/>
      <c r="R2" s="1508"/>
      <c r="S2" s="1508"/>
      <c r="T2" s="1508"/>
      <c r="U2" s="1508"/>
      <c r="V2" s="1508"/>
      <c r="W2" s="1508"/>
      <c r="X2" s="1508"/>
      <c r="Y2" s="1508"/>
      <c r="Z2" s="1508"/>
      <c r="AA2" s="1509"/>
      <c r="AB2" s="1508">
        <f>P2+1</f>
        <v>2022</v>
      </c>
      <c r="AC2" s="1508"/>
      <c r="AD2" s="1508"/>
      <c r="AE2" s="1508"/>
      <c r="AF2" s="1508"/>
      <c r="AG2" s="1508"/>
      <c r="AH2" s="1508"/>
      <c r="AI2" s="1508"/>
      <c r="AJ2" s="1508"/>
      <c r="AK2" s="1508"/>
      <c r="AL2" s="1508"/>
      <c r="AM2" s="1509"/>
      <c r="AN2" s="1507">
        <f>AB2+1</f>
        <v>2023</v>
      </c>
      <c r="AO2" s="1508"/>
      <c r="AP2" s="1508"/>
      <c r="AQ2" s="1508"/>
      <c r="AR2" s="1508"/>
      <c r="AS2" s="1508"/>
      <c r="AT2" s="1508"/>
      <c r="AU2" s="1508"/>
      <c r="AV2" s="1508"/>
      <c r="AW2" s="1508"/>
      <c r="AX2" s="1508"/>
      <c r="AY2" s="1509"/>
      <c r="AZ2" s="1507">
        <f>AN2+1</f>
        <v>2024</v>
      </c>
      <c r="BA2" s="1508"/>
      <c r="BB2" s="1508"/>
      <c r="BC2" s="1508"/>
      <c r="BD2" s="1508"/>
      <c r="BE2" s="1508"/>
      <c r="BF2" s="1508"/>
      <c r="BG2" s="1508"/>
      <c r="BH2" s="1508"/>
      <c r="BI2" s="1508"/>
      <c r="BJ2" s="1508"/>
      <c r="BK2" s="1509"/>
      <c r="BM2" s="980" t="s">
        <v>281</v>
      </c>
    </row>
    <row r="3" spans="1:75" ht="16.2" thickBot="1">
      <c r="A3" s="855"/>
      <c r="B3" s="1512"/>
      <c r="C3" s="1513"/>
      <c r="D3" s="1386" t="s">
        <v>187</v>
      </c>
      <c r="E3" s="1371" t="s">
        <v>188</v>
      </c>
      <c r="F3" s="1371" t="s">
        <v>189</v>
      </c>
      <c r="G3" s="1371" t="s">
        <v>190</v>
      </c>
      <c r="H3" s="1371" t="s">
        <v>8</v>
      </c>
      <c r="I3" s="1371" t="s">
        <v>191</v>
      </c>
      <c r="J3" s="1371" t="s">
        <v>192</v>
      </c>
      <c r="K3" s="1371" t="s">
        <v>193</v>
      </c>
      <c r="L3" s="1371" t="s">
        <v>194</v>
      </c>
      <c r="M3" s="1371" t="s">
        <v>195</v>
      </c>
      <c r="N3" s="1371" t="s">
        <v>196</v>
      </c>
      <c r="O3" s="1372" t="s">
        <v>197</v>
      </c>
      <c r="P3" s="1370" t="s">
        <v>187</v>
      </c>
      <c r="Q3" s="1371" t="s">
        <v>188</v>
      </c>
      <c r="R3" s="1371" t="s">
        <v>189</v>
      </c>
      <c r="S3" s="1371" t="s">
        <v>190</v>
      </c>
      <c r="T3" s="1371" t="s">
        <v>8</v>
      </c>
      <c r="U3" s="1371" t="s">
        <v>191</v>
      </c>
      <c r="V3" s="1371" t="s">
        <v>192</v>
      </c>
      <c r="W3" s="1371" t="s">
        <v>193</v>
      </c>
      <c r="X3" s="1371" t="s">
        <v>194</v>
      </c>
      <c r="Y3" s="1371" t="s">
        <v>195</v>
      </c>
      <c r="Z3" s="1371" t="s">
        <v>196</v>
      </c>
      <c r="AA3" s="1372" t="s">
        <v>197</v>
      </c>
      <c r="AB3" s="1370" t="s">
        <v>187</v>
      </c>
      <c r="AC3" s="1371" t="s">
        <v>188</v>
      </c>
      <c r="AD3" s="1371" t="s">
        <v>189</v>
      </c>
      <c r="AE3" s="1371" t="s">
        <v>190</v>
      </c>
      <c r="AF3" s="1371" t="s">
        <v>8</v>
      </c>
      <c r="AG3" s="1371" t="s">
        <v>191</v>
      </c>
      <c r="AH3" s="1371" t="s">
        <v>192</v>
      </c>
      <c r="AI3" s="1371" t="s">
        <v>193</v>
      </c>
      <c r="AJ3" s="1371" t="s">
        <v>194</v>
      </c>
      <c r="AK3" s="1371" t="s">
        <v>195</v>
      </c>
      <c r="AL3" s="1371" t="s">
        <v>196</v>
      </c>
      <c r="AM3" s="1372" t="s">
        <v>197</v>
      </c>
      <c r="AN3" s="1370" t="s">
        <v>187</v>
      </c>
      <c r="AO3" s="1371" t="s">
        <v>188</v>
      </c>
      <c r="AP3" s="1371" t="s">
        <v>189</v>
      </c>
      <c r="AQ3" s="1371" t="s">
        <v>190</v>
      </c>
      <c r="AR3" s="1371" t="s">
        <v>8</v>
      </c>
      <c r="AS3" s="1371" t="s">
        <v>191</v>
      </c>
      <c r="AT3" s="1371" t="s">
        <v>192</v>
      </c>
      <c r="AU3" s="1371" t="s">
        <v>193</v>
      </c>
      <c r="AV3" s="1371" t="s">
        <v>194</v>
      </c>
      <c r="AW3" s="1371" t="s">
        <v>195</v>
      </c>
      <c r="AX3" s="1371" t="s">
        <v>196</v>
      </c>
      <c r="AY3" s="1372" t="s">
        <v>197</v>
      </c>
      <c r="AZ3" s="1371" t="s">
        <v>187</v>
      </c>
      <c r="BA3" s="1371" t="s">
        <v>188</v>
      </c>
      <c r="BB3" s="1371" t="s">
        <v>189</v>
      </c>
      <c r="BC3" s="1371" t="s">
        <v>190</v>
      </c>
      <c r="BD3" s="1371" t="s">
        <v>8</v>
      </c>
      <c r="BE3" s="1371" t="s">
        <v>191</v>
      </c>
      <c r="BF3" s="1371" t="s">
        <v>192</v>
      </c>
      <c r="BG3" s="1371" t="s">
        <v>193</v>
      </c>
      <c r="BH3" s="1371" t="s">
        <v>194</v>
      </c>
      <c r="BI3" s="1371" t="s">
        <v>195</v>
      </c>
      <c r="BJ3" s="1371" t="s">
        <v>196</v>
      </c>
      <c r="BK3" s="1372" t="s">
        <v>197</v>
      </c>
      <c r="BM3" s="981"/>
      <c r="BP3" s="884"/>
      <c r="BQ3" s="884"/>
      <c r="BR3" s="884"/>
      <c r="BS3" s="884"/>
      <c r="BT3" s="884"/>
      <c r="BU3" s="91"/>
      <c r="BV3" s="91"/>
      <c r="BW3" s="91"/>
    </row>
    <row r="4" spans="2:75" ht="15.75">
      <c r="B4" s="1503" t="s">
        <v>476</v>
      </c>
      <c r="C4" s="1269" t="s">
        <v>477</v>
      </c>
      <c r="D4" s="1237"/>
      <c r="E4" s="1233"/>
      <c r="F4" s="972"/>
      <c r="G4" s="971"/>
      <c r="H4" s="971"/>
      <c r="I4" s="972"/>
      <c r="J4" s="971"/>
      <c r="K4" s="971"/>
      <c r="L4" s="972"/>
      <c r="M4" s="1237">
        <v>1</v>
      </c>
      <c r="N4" s="1237">
        <v>1</v>
      </c>
      <c r="O4" s="1238">
        <v>1</v>
      </c>
      <c r="P4" s="1235">
        <v>2</v>
      </c>
      <c r="Q4" s="1233">
        <f aca="true" t="shared" si="0" ref="Q4:BK4">+P4</f>
        <v>2</v>
      </c>
      <c r="R4" s="1236">
        <f t="shared" si="0"/>
        <v>2</v>
      </c>
      <c r="S4" s="1233">
        <f t="shared" si="0"/>
        <v>2</v>
      </c>
      <c r="T4" s="1233">
        <f t="shared" si="0"/>
        <v>2</v>
      </c>
      <c r="U4" s="1236">
        <f t="shared" si="0"/>
        <v>2</v>
      </c>
      <c r="V4" s="1237">
        <v>3</v>
      </c>
      <c r="W4" s="1233">
        <f t="shared" si="0"/>
        <v>3</v>
      </c>
      <c r="X4" s="1236">
        <f t="shared" si="0"/>
        <v>3</v>
      </c>
      <c r="Y4" s="1233">
        <f t="shared" si="0"/>
        <v>3</v>
      </c>
      <c r="Z4" s="1233">
        <f t="shared" si="0"/>
        <v>3</v>
      </c>
      <c r="AA4" s="1234">
        <f t="shared" si="0"/>
        <v>3</v>
      </c>
      <c r="AB4" s="1235">
        <v>5</v>
      </c>
      <c r="AC4" s="1233">
        <f t="shared" si="0"/>
        <v>5</v>
      </c>
      <c r="AD4" s="1236">
        <f t="shared" si="0"/>
        <v>5</v>
      </c>
      <c r="AE4" s="1233">
        <f t="shared" si="0"/>
        <v>5</v>
      </c>
      <c r="AF4" s="1233">
        <f t="shared" si="0"/>
        <v>5</v>
      </c>
      <c r="AG4" s="1236">
        <f t="shared" si="0"/>
        <v>5</v>
      </c>
      <c r="AH4" s="1233">
        <f t="shared" si="0"/>
        <v>5</v>
      </c>
      <c r="AI4" s="1233">
        <f t="shared" si="0"/>
        <v>5</v>
      </c>
      <c r="AJ4" s="1236">
        <f t="shared" si="0"/>
        <v>5</v>
      </c>
      <c r="AK4" s="1233">
        <f t="shared" si="0"/>
        <v>5</v>
      </c>
      <c r="AL4" s="1233">
        <f t="shared" si="0"/>
        <v>5</v>
      </c>
      <c r="AM4" s="1234">
        <f t="shared" si="0"/>
        <v>5</v>
      </c>
      <c r="AN4" s="1235">
        <v>7</v>
      </c>
      <c r="AO4" s="1233">
        <f t="shared" si="0"/>
        <v>7</v>
      </c>
      <c r="AP4" s="1236">
        <f t="shared" si="0"/>
        <v>7</v>
      </c>
      <c r="AQ4" s="1233">
        <f t="shared" si="0"/>
        <v>7</v>
      </c>
      <c r="AR4" s="1233">
        <f t="shared" si="0"/>
        <v>7</v>
      </c>
      <c r="AS4" s="1236">
        <f t="shared" si="0"/>
        <v>7</v>
      </c>
      <c r="AT4" s="1233">
        <f t="shared" si="0"/>
        <v>7</v>
      </c>
      <c r="AU4" s="1233">
        <f t="shared" si="0"/>
        <v>7</v>
      </c>
      <c r="AV4" s="1236">
        <f t="shared" si="0"/>
        <v>7</v>
      </c>
      <c r="AW4" s="1233">
        <f t="shared" si="0"/>
        <v>7</v>
      </c>
      <c r="AX4" s="1233">
        <f t="shared" si="0"/>
        <v>7</v>
      </c>
      <c r="AY4" s="1234">
        <f t="shared" si="0"/>
        <v>7</v>
      </c>
      <c r="AZ4" s="1235">
        <v>9</v>
      </c>
      <c r="BA4" s="1233">
        <f t="shared" si="0"/>
        <v>9</v>
      </c>
      <c r="BB4" s="1236">
        <f t="shared" si="0"/>
        <v>9</v>
      </c>
      <c r="BC4" s="1233">
        <f t="shared" si="0"/>
        <v>9</v>
      </c>
      <c r="BD4" s="1233">
        <f t="shared" si="0"/>
        <v>9</v>
      </c>
      <c r="BE4" s="1236">
        <f t="shared" si="0"/>
        <v>9</v>
      </c>
      <c r="BF4" s="1233">
        <f t="shared" si="0"/>
        <v>9</v>
      </c>
      <c r="BG4" s="1233">
        <f t="shared" si="0"/>
        <v>9</v>
      </c>
      <c r="BH4" s="1236">
        <f t="shared" si="0"/>
        <v>9</v>
      </c>
      <c r="BI4" s="1233">
        <f t="shared" si="0"/>
        <v>9</v>
      </c>
      <c r="BJ4" s="1233">
        <f t="shared" si="0"/>
        <v>9</v>
      </c>
      <c r="BK4" s="1234">
        <f t="shared" si="0"/>
        <v>9</v>
      </c>
      <c r="BM4" s="982"/>
      <c r="BN4" s="218"/>
      <c r="BP4" s="91"/>
      <c r="BQ4" s="91"/>
      <c r="BR4" s="91"/>
      <c r="BS4" s="91"/>
      <c r="BT4" s="91"/>
      <c r="BU4" s="91"/>
      <c r="BV4" s="91"/>
      <c r="BW4" s="91"/>
    </row>
    <row r="5" spans="2:75" ht="15.75">
      <c r="B5" s="1504"/>
      <c r="C5" s="973" t="s">
        <v>520</v>
      </c>
      <c r="D5" s="1246"/>
      <c r="E5" s="1387"/>
      <c r="F5" s="1388"/>
      <c r="G5" s="1387"/>
      <c r="H5" s="1387"/>
      <c r="I5" s="1388"/>
      <c r="J5" s="1387"/>
      <c r="K5" s="1387"/>
      <c r="L5" s="1388"/>
      <c r="M5" s="1262">
        <f>Assumptions!$D$17*M4</f>
        <v>4</v>
      </c>
      <c r="N5" s="1262">
        <f>Assumptions!$D$17*N4</f>
        <v>4</v>
      </c>
      <c r="O5" s="1263">
        <f>Assumptions!$D$17*O4</f>
        <v>4</v>
      </c>
      <c r="P5" s="1264">
        <f>Assumptions!$E$17*P4</f>
        <v>10</v>
      </c>
      <c r="Q5" s="1262">
        <f>Assumptions!$E$17*Q4</f>
        <v>10</v>
      </c>
      <c r="R5" s="1265">
        <f>Assumptions!$E$17*R4</f>
        <v>10</v>
      </c>
      <c r="S5" s="1262">
        <f>Assumptions!$E$17*S4</f>
        <v>10</v>
      </c>
      <c r="T5" s="1262">
        <f>Assumptions!$E$17*T4</f>
        <v>10</v>
      </c>
      <c r="U5" s="1265">
        <f>Assumptions!$E$17*U4</f>
        <v>10</v>
      </c>
      <c r="V5" s="1262">
        <f>Assumptions!$E$17*V4</f>
        <v>15</v>
      </c>
      <c r="W5" s="1262">
        <f>Assumptions!$E$17*W4</f>
        <v>15</v>
      </c>
      <c r="X5" s="1265">
        <f>Assumptions!$E$17*X4</f>
        <v>15</v>
      </c>
      <c r="Y5" s="1262">
        <f>Assumptions!$E$17*Y4</f>
        <v>15</v>
      </c>
      <c r="Z5" s="1262">
        <f>Assumptions!$E$17*Z4</f>
        <v>15</v>
      </c>
      <c r="AA5" s="1263">
        <f>Assumptions!$E$17*AA4</f>
        <v>15</v>
      </c>
      <c r="AB5" s="1264">
        <f>Assumptions!$F$17*AB4</f>
        <v>25</v>
      </c>
      <c r="AC5" s="1262">
        <f>Assumptions!$F$17*AC4</f>
        <v>25</v>
      </c>
      <c r="AD5" s="1265">
        <f>Assumptions!$F$17*AD4</f>
        <v>25</v>
      </c>
      <c r="AE5" s="1262">
        <f>Assumptions!$F$17*AE4</f>
        <v>25</v>
      </c>
      <c r="AF5" s="1262">
        <f>Assumptions!$F$17*AF4</f>
        <v>25</v>
      </c>
      <c r="AG5" s="1265">
        <f>Assumptions!$F$17*AG4</f>
        <v>25</v>
      </c>
      <c r="AH5" s="1262">
        <f>Assumptions!$F$17*AH4</f>
        <v>25</v>
      </c>
      <c r="AI5" s="1262">
        <f>Assumptions!$F$17*AI4</f>
        <v>25</v>
      </c>
      <c r="AJ5" s="1265">
        <f>Assumptions!$F$17*AJ4</f>
        <v>25</v>
      </c>
      <c r="AK5" s="1262">
        <f>Assumptions!$F$17*AK4</f>
        <v>25</v>
      </c>
      <c r="AL5" s="1262">
        <f>Assumptions!$F$17*AL4</f>
        <v>25</v>
      </c>
      <c r="AM5" s="1263">
        <f>Assumptions!$F$17*AM4</f>
        <v>25</v>
      </c>
      <c r="AN5" s="1264">
        <f>Assumptions!$G$17*AN4</f>
        <v>42</v>
      </c>
      <c r="AO5" s="1262">
        <f>Assumptions!$G$17*AO4</f>
        <v>42</v>
      </c>
      <c r="AP5" s="1265">
        <f>Assumptions!$G$17*AP4</f>
        <v>42</v>
      </c>
      <c r="AQ5" s="1262">
        <f>Assumptions!$G$17*AQ4</f>
        <v>42</v>
      </c>
      <c r="AR5" s="1262">
        <f>Assumptions!$G$17*AR4</f>
        <v>42</v>
      </c>
      <c r="AS5" s="1265">
        <f>Assumptions!$G$17*AS4</f>
        <v>42</v>
      </c>
      <c r="AT5" s="1262">
        <f>Assumptions!$G$17*AT4</f>
        <v>42</v>
      </c>
      <c r="AU5" s="1262">
        <f>Assumptions!$G$17*AU4</f>
        <v>42</v>
      </c>
      <c r="AV5" s="1265">
        <f>Assumptions!$G$17*AV4</f>
        <v>42</v>
      </c>
      <c r="AW5" s="1262">
        <f>Assumptions!$G$17*AW4</f>
        <v>42</v>
      </c>
      <c r="AX5" s="1262">
        <f>Assumptions!$G$17*AX4</f>
        <v>42</v>
      </c>
      <c r="AY5" s="1263">
        <f>Assumptions!$G$17*AY4</f>
        <v>42</v>
      </c>
      <c r="AZ5" s="1264">
        <f>Assumptions!$H$17*AZ4</f>
        <v>63</v>
      </c>
      <c r="BA5" s="1262">
        <f>Assumptions!$H$17*BA4</f>
        <v>63</v>
      </c>
      <c r="BB5" s="1265">
        <f>Assumptions!$H$17*BB4</f>
        <v>63</v>
      </c>
      <c r="BC5" s="1262">
        <f>Assumptions!$H$17*BC4</f>
        <v>63</v>
      </c>
      <c r="BD5" s="1262">
        <f>Assumptions!$H$17*BD4</f>
        <v>63</v>
      </c>
      <c r="BE5" s="1265">
        <f>Assumptions!$H$17*BE4</f>
        <v>63</v>
      </c>
      <c r="BF5" s="1262">
        <f>Assumptions!$H$17*BF4</f>
        <v>63</v>
      </c>
      <c r="BG5" s="1262">
        <f>Assumptions!$H$17*BG4</f>
        <v>63</v>
      </c>
      <c r="BH5" s="1265">
        <f>Assumptions!$H$17*BH4</f>
        <v>63</v>
      </c>
      <c r="BI5" s="1262">
        <f>Assumptions!$H$17*BI4</f>
        <v>63</v>
      </c>
      <c r="BJ5" s="1262">
        <f>Assumptions!$H$17*BJ4</f>
        <v>63</v>
      </c>
      <c r="BK5" s="1263">
        <f>Assumptions!$H$17*BK4</f>
        <v>63</v>
      </c>
      <c r="BM5" s="982"/>
      <c r="BN5" s="218"/>
      <c r="BP5" s="91"/>
      <c r="BQ5" s="91"/>
      <c r="BR5" s="91"/>
      <c r="BS5" s="91"/>
      <c r="BT5" s="91"/>
      <c r="BU5" s="91"/>
      <c r="BV5" s="91"/>
      <c r="BW5" s="91"/>
    </row>
    <row r="6" spans="2:75" s="876" customFormat="1" ht="15.75">
      <c r="B6" s="1504"/>
      <c r="C6" s="973" t="s">
        <v>478</v>
      </c>
      <c r="D6" s="1389"/>
      <c r="E6" s="1239"/>
      <c r="F6" s="1390"/>
      <c r="G6" s="1389"/>
      <c r="H6" s="1239"/>
      <c r="I6" s="1390"/>
      <c r="J6" s="1391"/>
      <c r="K6" s="1239"/>
      <c r="L6" s="1392"/>
      <c r="M6" s="1239">
        <f>+M5*Assumptions!$D$21</f>
        <v>3200</v>
      </c>
      <c r="N6" s="974">
        <f>+N5*Assumptions!$D$21</f>
        <v>3200</v>
      </c>
      <c r="O6" s="979">
        <f>+O5*Assumptions!$D$21</f>
        <v>3200</v>
      </c>
      <c r="P6" s="1249">
        <f>+P5*Assumptions!$E$21</f>
        <v>8000</v>
      </c>
      <c r="Q6" s="974">
        <f>+Q5*Assumptions!$E$21</f>
        <v>8000</v>
      </c>
      <c r="R6" s="975">
        <f>+R5*Assumptions!$E$21</f>
        <v>8000</v>
      </c>
      <c r="S6" s="974">
        <f>+S5*Assumptions!$E$21</f>
        <v>8000</v>
      </c>
      <c r="T6" s="974">
        <f>+T5*Assumptions!$E$21</f>
        <v>8000</v>
      </c>
      <c r="U6" s="975">
        <f>+U5*Assumptions!$E$21</f>
        <v>8000</v>
      </c>
      <c r="V6" s="974">
        <f>+V5*Assumptions!$E$21</f>
        <v>12000</v>
      </c>
      <c r="W6" s="974">
        <f>+W5*Assumptions!$E$21</f>
        <v>12000</v>
      </c>
      <c r="X6" s="975">
        <f>+X5*Assumptions!$E$21</f>
        <v>12000</v>
      </c>
      <c r="Y6" s="974">
        <f>+Y5*Assumptions!$E$21</f>
        <v>12000</v>
      </c>
      <c r="Z6" s="974">
        <f>+Z5*Assumptions!$E$21</f>
        <v>12000</v>
      </c>
      <c r="AA6" s="979">
        <f>+AA5*Assumptions!$E$21</f>
        <v>12000</v>
      </c>
      <c r="AB6" s="1249">
        <f>+AB5*Assumptions!$F$21</f>
        <v>22999.999999999996</v>
      </c>
      <c r="AC6" s="974">
        <f>+AC5*Assumptions!$F$21</f>
        <v>22999.999999999996</v>
      </c>
      <c r="AD6" s="975">
        <f>+AD5*Assumptions!$F$21</f>
        <v>22999.999999999996</v>
      </c>
      <c r="AE6" s="974">
        <f>+AE5*Assumptions!$F$21</f>
        <v>22999.999999999996</v>
      </c>
      <c r="AF6" s="974">
        <f>+AF5*Assumptions!$F$21</f>
        <v>22999.999999999996</v>
      </c>
      <c r="AG6" s="975">
        <f>+AG5*Assumptions!$F$21</f>
        <v>22999.999999999996</v>
      </c>
      <c r="AH6" s="974">
        <f>+AH5*Assumptions!$F$21</f>
        <v>22999.999999999996</v>
      </c>
      <c r="AI6" s="974">
        <f>+AI5*Assumptions!$F$21</f>
        <v>22999.999999999996</v>
      </c>
      <c r="AJ6" s="975">
        <f>+AJ5*Assumptions!$F$21</f>
        <v>22999.999999999996</v>
      </c>
      <c r="AK6" s="974">
        <f>+AK5*Assumptions!$F$21</f>
        <v>22999.999999999996</v>
      </c>
      <c r="AL6" s="974">
        <f>+AL5*Assumptions!$F$21</f>
        <v>22999.999999999996</v>
      </c>
      <c r="AM6" s="979">
        <f>+AM5*Assumptions!$F$21</f>
        <v>22999.999999999996</v>
      </c>
      <c r="AN6" s="1249">
        <f>+AN5*Assumptions!$G$21</f>
        <v>44435.99999999999</v>
      </c>
      <c r="AO6" s="974">
        <f>+AO5*Assumptions!$G$21</f>
        <v>44435.99999999999</v>
      </c>
      <c r="AP6" s="975">
        <f>+AP5*Assumptions!$G$21</f>
        <v>44435.99999999999</v>
      </c>
      <c r="AQ6" s="974">
        <f>+AQ5*Assumptions!$G$21</f>
        <v>44435.99999999999</v>
      </c>
      <c r="AR6" s="974">
        <f>+AR5*Assumptions!$G$21</f>
        <v>44435.99999999999</v>
      </c>
      <c r="AS6" s="975">
        <f>+AS5*Assumptions!$G$21</f>
        <v>44435.99999999999</v>
      </c>
      <c r="AT6" s="974">
        <f>+AT5*Assumptions!$G$21</f>
        <v>44435.99999999999</v>
      </c>
      <c r="AU6" s="974">
        <f>+AU5*Assumptions!$G$21</f>
        <v>44435.99999999999</v>
      </c>
      <c r="AV6" s="975">
        <f>+AV5*Assumptions!$G$21</f>
        <v>44435.99999999999</v>
      </c>
      <c r="AW6" s="974">
        <f>+AW5*Assumptions!$G$21</f>
        <v>44435.99999999999</v>
      </c>
      <c r="AX6" s="974">
        <f>+AX5*Assumptions!$G$21</f>
        <v>44435.99999999999</v>
      </c>
      <c r="AY6" s="979">
        <f>+AY5*Assumptions!$G$21</f>
        <v>44435.99999999999</v>
      </c>
      <c r="AZ6" s="1249">
        <f>+AZ5*Assumptions!$H$21</f>
        <v>76652.09999999998</v>
      </c>
      <c r="BA6" s="974">
        <f>+BA5*Assumptions!$H$21</f>
        <v>76652.09999999998</v>
      </c>
      <c r="BB6" s="975">
        <f>+BB5*Assumptions!$H$21</f>
        <v>76652.09999999998</v>
      </c>
      <c r="BC6" s="977">
        <f>+BC5*Assumptions!$H$21</f>
        <v>76652.09999999998</v>
      </c>
      <c r="BD6" s="974">
        <f>+BD5*Assumptions!$H$21</f>
        <v>76652.09999999998</v>
      </c>
      <c r="BE6" s="975">
        <f>+BE5*Assumptions!$H$21</f>
        <v>76652.09999999998</v>
      </c>
      <c r="BF6" s="977">
        <f>+BF5*Assumptions!$H$21</f>
        <v>76652.09999999998</v>
      </c>
      <c r="BG6" s="974">
        <f>+BG5*Assumptions!$H$21</f>
        <v>76652.09999999998</v>
      </c>
      <c r="BH6" s="975">
        <f>+BH5*Assumptions!$H$21</f>
        <v>76652.09999999998</v>
      </c>
      <c r="BI6" s="974">
        <f>+BI5*Assumptions!$H$21</f>
        <v>76652.09999999998</v>
      </c>
      <c r="BJ6" s="974">
        <f>+BJ5*Assumptions!$H$21</f>
        <v>76652.09999999998</v>
      </c>
      <c r="BK6" s="979">
        <f>+BK5*Assumptions!$H$21</f>
        <v>76652.09999999998</v>
      </c>
      <c r="BL6" s="881"/>
      <c r="BM6" s="983"/>
      <c r="BP6" s="885"/>
      <c r="BQ6" s="885"/>
      <c r="BR6" s="885"/>
      <c r="BS6" s="885"/>
      <c r="BT6" s="885"/>
      <c r="BU6" s="885"/>
      <c r="BV6" s="885"/>
      <c r="BW6" s="885"/>
    </row>
    <row r="7" spans="2:75" s="877" customFormat="1" ht="15.75">
      <c r="B7" s="1504"/>
      <c r="C7" s="985" t="s">
        <v>479</v>
      </c>
      <c r="D7" s="1326"/>
      <c r="E7" s="1240"/>
      <c r="F7" s="1393"/>
      <c r="G7" s="1240"/>
      <c r="H7" s="1240"/>
      <c r="I7" s="1393"/>
      <c r="J7" s="1240"/>
      <c r="K7" s="1240"/>
      <c r="L7" s="1393"/>
      <c r="M7" s="1254">
        <f>Assumptions!$D$22*INT(M4*Assumptions!$D$25)</f>
        <v>0</v>
      </c>
      <c r="N7" s="1254">
        <f>Assumptions!$D$22*INT(N4*Assumptions!$D$25)</f>
        <v>0</v>
      </c>
      <c r="O7" s="1259">
        <f>Assumptions!$D$22*INT(O4*Assumptions!$D$25)</f>
        <v>0</v>
      </c>
      <c r="P7" s="1260">
        <f>Assumptions!$E$22*INT(P4*Assumptions!$D$25)</f>
        <v>0</v>
      </c>
      <c r="Q7" s="1254">
        <f>Assumptions!$E$22*INT(Q4*Assumptions!$D$25)</f>
        <v>0</v>
      </c>
      <c r="R7" s="1261">
        <f>Assumptions!$E$22*INT(R4*Assumptions!$D$25)</f>
        <v>0</v>
      </c>
      <c r="S7" s="1254">
        <f>Assumptions!$E$22*INT(S4*Assumptions!$D$25)</f>
        <v>0</v>
      </c>
      <c r="T7" s="1254">
        <f>Assumptions!$E$22*INT(T4*Assumptions!$D$25)</f>
        <v>0</v>
      </c>
      <c r="U7" s="1261">
        <f>Assumptions!$E$22*INT(U4*Assumptions!$D$25)</f>
        <v>0</v>
      </c>
      <c r="V7" s="1254">
        <f>Assumptions!$E$22*INT(V4*Assumptions!$D$25)</f>
        <v>250</v>
      </c>
      <c r="W7" s="1254">
        <f>Assumptions!$E$22*INT(W4*Assumptions!$D$25)</f>
        <v>250</v>
      </c>
      <c r="X7" s="1261">
        <f>Assumptions!$E$22*INT(X4*Assumptions!$D$25)</f>
        <v>250</v>
      </c>
      <c r="Y7" s="1254">
        <f>Assumptions!$E$22*INT(Y4*Assumptions!$D$25)</f>
        <v>250</v>
      </c>
      <c r="Z7" s="1254">
        <f>Assumptions!$E$22*INT(Z4*Assumptions!$D$25)</f>
        <v>250</v>
      </c>
      <c r="AA7" s="1259">
        <f>Assumptions!$E$22*INT(AA4*Assumptions!$D$25)</f>
        <v>250</v>
      </c>
      <c r="AB7" s="1260">
        <f>Assumptions!$F$22*INT(AB4*Assumptions!$D$25)</f>
        <v>600</v>
      </c>
      <c r="AC7" s="1254">
        <f>Assumptions!$F$22*INT(AC4*Assumptions!$D$25)</f>
        <v>600</v>
      </c>
      <c r="AD7" s="1261">
        <f>Assumptions!$F$22*INT(AD4*Assumptions!$D$25)</f>
        <v>600</v>
      </c>
      <c r="AE7" s="1254">
        <f>Assumptions!$F$22*INT(AE4*Assumptions!$D$25)</f>
        <v>600</v>
      </c>
      <c r="AF7" s="1254">
        <f>Assumptions!$F$22*INT(AF4*Assumptions!$D$25)</f>
        <v>600</v>
      </c>
      <c r="AG7" s="1261">
        <f>Assumptions!$F$22*INT(AG4*Assumptions!$D$25)</f>
        <v>600</v>
      </c>
      <c r="AH7" s="1254">
        <f>Assumptions!$F$22*INT(AH4*Assumptions!$D$25)</f>
        <v>600</v>
      </c>
      <c r="AI7" s="1254">
        <f>Assumptions!$F$22*INT(AI4*Assumptions!$D$25)</f>
        <v>600</v>
      </c>
      <c r="AJ7" s="1261">
        <f>Assumptions!$F$22*INT(AJ4*Assumptions!$D$25)</f>
        <v>600</v>
      </c>
      <c r="AK7" s="1254">
        <f>Assumptions!$F$22*INT(AK4*Assumptions!$D$25)</f>
        <v>600</v>
      </c>
      <c r="AL7" s="1254">
        <f>Assumptions!$F$22*INT(AL4*Assumptions!$D$25)</f>
        <v>600</v>
      </c>
      <c r="AM7" s="1259">
        <f>Assumptions!$F$22*INT(AM4*Assumptions!$D$25)</f>
        <v>600</v>
      </c>
      <c r="AN7" s="1260">
        <f>Assumptions!$G$22*INT(AN4*Assumptions!$D$25)</f>
        <v>720</v>
      </c>
      <c r="AO7" s="1254">
        <f>Assumptions!$G$22*INT(AO4*Assumptions!$D$25)</f>
        <v>720</v>
      </c>
      <c r="AP7" s="1261">
        <f>Assumptions!$G$22*INT(AP4*Assumptions!$D$25)</f>
        <v>720</v>
      </c>
      <c r="AQ7" s="1254">
        <f>Assumptions!$G$22*INT(AQ4*Assumptions!$D$25)</f>
        <v>720</v>
      </c>
      <c r="AR7" s="1254">
        <f>Assumptions!$G$22*INT(AR4*Assumptions!$D$25)</f>
        <v>720</v>
      </c>
      <c r="AS7" s="1261">
        <f>Assumptions!$G$22*INT(AS4*Assumptions!$D$25)</f>
        <v>720</v>
      </c>
      <c r="AT7" s="1254">
        <f>Assumptions!$G$22*INT(AT4*Assumptions!$D$25)</f>
        <v>720</v>
      </c>
      <c r="AU7" s="1254">
        <f>Assumptions!$G$22*INT(AU4*Assumptions!$D$25)</f>
        <v>720</v>
      </c>
      <c r="AV7" s="1261">
        <f>Assumptions!$G$22*INT(AV4*Assumptions!$D$25)</f>
        <v>720</v>
      </c>
      <c r="AW7" s="1254">
        <f>Assumptions!$G$22*INT(AW4*Assumptions!$D$25)</f>
        <v>720</v>
      </c>
      <c r="AX7" s="1254">
        <f>Assumptions!$G$22*INT(AX4*Assumptions!$D$25)</f>
        <v>720</v>
      </c>
      <c r="AY7" s="1259">
        <f>Assumptions!$G$22*INT(AY4*Assumptions!$D$25)</f>
        <v>720</v>
      </c>
      <c r="AZ7" s="1260">
        <f>Assumptions!$H$22*INT(AZ4*Assumptions!$D$25)</f>
        <v>1296</v>
      </c>
      <c r="BA7" s="1254">
        <f>Assumptions!$H$22*INT(BA4*Assumptions!$D$25)</f>
        <v>1296</v>
      </c>
      <c r="BB7" s="1261">
        <f>Assumptions!$H$22*INT(BB4*Assumptions!$D$25)</f>
        <v>1296</v>
      </c>
      <c r="BC7" s="1254">
        <f>Assumptions!$H$22*INT(BC4*Assumptions!$D$25)</f>
        <v>1296</v>
      </c>
      <c r="BD7" s="1254">
        <f>Assumptions!$H$22*INT(BD4*Assumptions!$D$25)</f>
        <v>1296</v>
      </c>
      <c r="BE7" s="1261">
        <f>Assumptions!$H$22*INT(BE4*Assumptions!$D$25)</f>
        <v>1296</v>
      </c>
      <c r="BF7" s="1254">
        <f>Assumptions!$H$22*INT(BF4*Assumptions!$D$25)</f>
        <v>1296</v>
      </c>
      <c r="BG7" s="1254">
        <f>Assumptions!$H$22*INT(BG4*Assumptions!$D$25)</f>
        <v>1296</v>
      </c>
      <c r="BH7" s="1261">
        <f>Assumptions!$H$22*INT(BH4*Assumptions!$D$25)</f>
        <v>1296</v>
      </c>
      <c r="BI7" s="1254">
        <f>Assumptions!$H$22*INT(BI4*Assumptions!$D$25)</f>
        <v>1296</v>
      </c>
      <c r="BJ7" s="1254">
        <f>Assumptions!$H$22*INT(BJ4*Assumptions!$D$25)</f>
        <v>1296</v>
      </c>
      <c r="BK7" s="1259">
        <f>Assumptions!$H$22*INT(BK4*Assumptions!$D$25)</f>
        <v>1296</v>
      </c>
      <c r="BL7" s="882"/>
      <c r="BM7" s="983"/>
      <c r="BP7" s="886"/>
      <c r="BQ7" s="886"/>
      <c r="BR7" s="886"/>
      <c r="BS7" s="886"/>
      <c r="BT7" s="886"/>
      <c r="BU7" s="886"/>
      <c r="BV7" s="886"/>
      <c r="BW7" s="886"/>
    </row>
    <row r="8" spans="1:75" s="878" customFormat="1" ht="15.75">
      <c r="A8" s="877"/>
      <c r="B8" s="1504"/>
      <c r="C8" s="985" t="s">
        <v>480</v>
      </c>
      <c r="D8" s="1394"/>
      <c r="E8" s="1241"/>
      <c r="F8" s="1395"/>
      <c r="G8" s="1394"/>
      <c r="H8" s="1241"/>
      <c r="I8" s="1395"/>
      <c r="J8" s="1241"/>
      <c r="K8" s="1241"/>
      <c r="L8" s="1395"/>
      <c r="M8" s="1241">
        <f>+Assumptions!$D$23*INT(Assumptions!$D$26*'Revenue Funnel'!M4)</f>
        <v>0</v>
      </c>
      <c r="N8" s="1250">
        <f>+Assumptions!$D$23*INT(Assumptions!$D$26*'Revenue Funnel'!N4)</f>
        <v>0</v>
      </c>
      <c r="O8" s="1251">
        <f>+Assumptions!$D$23*INT(Assumptions!$D$26*'Revenue Funnel'!O4)</f>
        <v>0</v>
      </c>
      <c r="P8" s="1252">
        <f>+Assumptions!$E$23*INT(Assumptions!$D$26*'Revenue Funnel'!P4)</f>
        <v>0</v>
      </c>
      <c r="Q8" s="1250">
        <f>+Assumptions!$E$23*INT(Assumptions!$D$26*'Revenue Funnel'!Q4)</f>
        <v>0</v>
      </c>
      <c r="R8" s="1253">
        <f>+Assumptions!$E$23*INT(Assumptions!$D$26*'Revenue Funnel'!R4)</f>
        <v>0</v>
      </c>
      <c r="S8" s="1250">
        <f>+Assumptions!$E$23*INT(Assumptions!$D$26*'Revenue Funnel'!S4)</f>
        <v>0</v>
      </c>
      <c r="T8" s="1250">
        <f>+Assumptions!$E$23*INT(Assumptions!$D$26*'Revenue Funnel'!T4)</f>
        <v>0</v>
      </c>
      <c r="U8" s="1253">
        <f>+Assumptions!$E$23*INT(Assumptions!$D$26*'Revenue Funnel'!U4)</f>
        <v>0</v>
      </c>
      <c r="V8" s="1250">
        <f>+Assumptions!$E$23*INT(Assumptions!$D$26*'Revenue Funnel'!V4)</f>
        <v>0</v>
      </c>
      <c r="W8" s="1250">
        <f>+Assumptions!$E$23*INT(Assumptions!$D$26*'Revenue Funnel'!W4)</f>
        <v>0</v>
      </c>
      <c r="X8" s="1253">
        <f>+Assumptions!$E$23*INT(Assumptions!$D$26*'Revenue Funnel'!X4)</f>
        <v>0</v>
      </c>
      <c r="Y8" s="1250">
        <f>+Assumptions!$E$23*INT(Assumptions!$D$26*'Revenue Funnel'!Y4)</f>
        <v>0</v>
      </c>
      <c r="Z8" s="1250">
        <f>+Assumptions!$E$23*INT(Assumptions!$D$26*'Revenue Funnel'!Z4)</f>
        <v>0</v>
      </c>
      <c r="AA8" s="1251">
        <f>+Assumptions!$E$23*INT(Assumptions!$D$26*'Revenue Funnel'!AA4)</f>
        <v>0</v>
      </c>
      <c r="AB8" s="1252">
        <f>+Assumptions!$F$23*INT(Assumptions!$D$26*'Revenue Funnel'!AB4)</f>
        <v>600</v>
      </c>
      <c r="AC8" s="1250">
        <f>+Assumptions!$F$23*INT(Assumptions!$D$26*'Revenue Funnel'!AC4)</f>
        <v>600</v>
      </c>
      <c r="AD8" s="1253">
        <f>+Assumptions!$F$23*INT(Assumptions!$D$26*'Revenue Funnel'!AD4)</f>
        <v>600</v>
      </c>
      <c r="AE8" s="1250">
        <f>+Assumptions!$F$23*INT(Assumptions!$D$26*'Revenue Funnel'!AE4)</f>
        <v>600</v>
      </c>
      <c r="AF8" s="1250">
        <f>+Assumptions!$F$23*INT(Assumptions!$D$26*'Revenue Funnel'!AF4)</f>
        <v>600</v>
      </c>
      <c r="AG8" s="1253">
        <f>+Assumptions!$F$23*INT(Assumptions!$D$26*'Revenue Funnel'!AG4)</f>
        <v>600</v>
      </c>
      <c r="AH8" s="1250">
        <f>+Assumptions!$F$23*INT(Assumptions!$D$26*'Revenue Funnel'!AH4)</f>
        <v>600</v>
      </c>
      <c r="AI8" s="1250">
        <f>+Assumptions!$F$23*INT(Assumptions!$D$26*'Revenue Funnel'!AI4)</f>
        <v>600</v>
      </c>
      <c r="AJ8" s="1253">
        <f>+Assumptions!$F$23*INT(Assumptions!$D$26*'Revenue Funnel'!AJ4)</f>
        <v>600</v>
      </c>
      <c r="AK8" s="1250">
        <f>+Assumptions!$F$23*INT(Assumptions!$D$26*'Revenue Funnel'!AK4)</f>
        <v>600</v>
      </c>
      <c r="AL8" s="1250">
        <f>+Assumptions!$F$23*INT(Assumptions!$D$26*'Revenue Funnel'!AL4)</f>
        <v>600</v>
      </c>
      <c r="AM8" s="1251">
        <f>+Assumptions!$F$23*INT(Assumptions!$D$26*'Revenue Funnel'!AM4)</f>
        <v>600</v>
      </c>
      <c r="AN8" s="1252">
        <f>+Assumptions!$G$23*INT(Assumptions!$D$26*'Revenue Funnel'!AN4)</f>
        <v>720</v>
      </c>
      <c r="AO8" s="1250">
        <f>+Assumptions!$G$23*INT(Assumptions!$D$26*'Revenue Funnel'!AO4)</f>
        <v>720</v>
      </c>
      <c r="AP8" s="1253">
        <f>+Assumptions!$G$23*INT(Assumptions!$D$26*'Revenue Funnel'!AP4)</f>
        <v>720</v>
      </c>
      <c r="AQ8" s="1250">
        <f>+Assumptions!$G$23*INT(Assumptions!$D$26*'Revenue Funnel'!AQ4)</f>
        <v>720</v>
      </c>
      <c r="AR8" s="1250">
        <f>+Assumptions!$G$23*INT(Assumptions!$D$26*'Revenue Funnel'!AR4)</f>
        <v>720</v>
      </c>
      <c r="AS8" s="1253">
        <f>+Assumptions!$G$23*INT(Assumptions!$D$26*'Revenue Funnel'!AS4)</f>
        <v>720</v>
      </c>
      <c r="AT8" s="1250">
        <f>+Assumptions!$G$23*INT(Assumptions!$D$26*'Revenue Funnel'!AT4)</f>
        <v>720</v>
      </c>
      <c r="AU8" s="1250">
        <f>+Assumptions!$G$23*INT(Assumptions!$D$26*'Revenue Funnel'!AU4)</f>
        <v>720</v>
      </c>
      <c r="AV8" s="1253">
        <f>+Assumptions!$G$23*INT(Assumptions!$D$26*'Revenue Funnel'!AV4)</f>
        <v>720</v>
      </c>
      <c r="AW8" s="1250">
        <f>+Assumptions!$G$23*INT(Assumptions!$D$26*'Revenue Funnel'!AW4)</f>
        <v>720</v>
      </c>
      <c r="AX8" s="1250">
        <f>+Assumptions!$G$23*INT(Assumptions!$D$26*'Revenue Funnel'!AX4)</f>
        <v>720</v>
      </c>
      <c r="AY8" s="1251">
        <f>+Assumptions!$G$23*INT(Assumptions!$D$26*'Revenue Funnel'!AY4)</f>
        <v>720</v>
      </c>
      <c r="AZ8" s="1252">
        <f>+Assumptions!$H$23*INT(Assumptions!$D$26*'Revenue Funnel'!AZ4)</f>
        <v>864</v>
      </c>
      <c r="BA8" s="1250">
        <f>+Assumptions!$H$23*INT(Assumptions!$D$26*'Revenue Funnel'!BA4)</f>
        <v>864</v>
      </c>
      <c r="BB8" s="1253">
        <f>+Assumptions!$H$23*INT(Assumptions!$D$26*'Revenue Funnel'!BB4)</f>
        <v>864</v>
      </c>
      <c r="BC8" s="1250">
        <f>+Assumptions!$H$23*INT(Assumptions!$D$26*'Revenue Funnel'!BC4)</f>
        <v>864</v>
      </c>
      <c r="BD8" s="1250">
        <f>+Assumptions!$H$23*INT(Assumptions!$D$26*'Revenue Funnel'!BD4)</f>
        <v>864</v>
      </c>
      <c r="BE8" s="1253">
        <f>+Assumptions!$H$23*INT(Assumptions!$D$26*'Revenue Funnel'!BE4)</f>
        <v>864</v>
      </c>
      <c r="BF8" s="1250">
        <f>+Assumptions!$H$23*INT(Assumptions!$D$26*'Revenue Funnel'!BF4)</f>
        <v>864</v>
      </c>
      <c r="BG8" s="1250">
        <f>+Assumptions!$H$23*INT(Assumptions!$D$26*'Revenue Funnel'!BG4)</f>
        <v>864</v>
      </c>
      <c r="BH8" s="1253">
        <f>+Assumptions!$H$23*INT(Assumptions!$D$26*'Revenue Funnel'!BH4)</f>
        <v>864</v>
      </c>
      <c r="BI8" s="1250">
        <f>+Assumptions!$H$23*INT(Assumptions!$D$26*'Revenue Funnel'!BI4)</f>
        <v>864</v>
      </c>
      <c r="BJ8" s="1250">
        <f>+Assumptions!$H$23*INT(Assumptions!$D$26*'Revenue Funnel'!BJ4)</f>
        <v>864</v>
      </c>
      <c r="BK8" s="1251">
        <f>+Assumptions!$H$23*INT(Assumptions!$D$26*'Revenue Funnel'!BK4)</f>
        <v>864</v>
      </c>
      <c r="BL8" s="883"/>
      <c r="BM8" s="982"/>
      <c r="BP8" s="887"/>
      <c r="BQ8" s="887"/>
      <c r="BR8" s="887"/>
      <c r="BS8" s="887"/>
      <c r="BT8" s="887"/>
      <c r="BU8" s="887"/>
      <c r="BV8" s="887"/>
      <c r="BW8" s="887"/>
    </row>
    <row r="9" spans="2:75" s="859" customFormat="1" ht="15.75">
      <c r="B9" s="1504"/>
      <c r="C9" s="985" t="s">
        <v>481</v>
      </c>
      <c r="D9" s="1396"/>
      <c r="E9" s="1242"/>
      <c r="F9" s="1267"/>
      <c r="G9" s="1242"/>
      <c r="H9" s="1242"/>
      <c r="I9" s="1267"/>
      <c r="J9" s="1242"/>
      <c r="K9" s="1242"/>
      <c r="L9" s="1267"/>
      <c r="M9" s="1240">
        <f>Assumptions!$D$24*INT(Assumptions!$D$27*'Revenue Funnel'!M4)</f>
        <v>0</v>
      </c>
      <c r="N9" s="1254">
        <f>Assumptions!$D$24*INT(Assumptions!$D$27*'Revenue Funnel'!N4)</f>
        <v>0</v>
      </c>
      <c r="O9" s="1259">
        <f>Assumptions!$D$24*INT(Assumptions!$D$27*'Revenue Funnel'!O4)</f>
        <v>0</v>
      </c>
      <c r="P9" s="1260">
        <f>Assumptions!$E$24*INT(Assumptions!$D$27*'Revenue Funnel'!P4)</f>
        <v>0</v>
      </c>
      <c r="Q9" s="1254">
        <f>Assumptions!$E$24*INT(Assumptions!$D$27*'Revenue Funnel'!Q4)</f>
        <v>0</v>
      </c>
      <c r="R9" s="1261">
        <f>Assumptions!$E$24*INT(Assumptions!$D$27*'Revenue Funnel'!R4)</f>
        <v>0</v>
      </c>
      <c r="S9" s="1254">
        <f>Assumptions!$E$24*INT(Assumptions!$D$27*'Revenue Funnel'!S4)</f>
        <v>0</v>
      </c>
      <c r="T9" s="1254">
        <f>Assumptions!$E$24*INT(Assumptions!$D$27*'Revenue Funnel'!T4)</f>
        <v>0</v>
      </c>
      <c r="U9" s="1261">
        <f>Assumptions!$E$24*INT(Assumptions!$D$27*'Revenue Funnel'!U4)</f>
        <v>0</v>
      </c>
      <c r="V9" s="1254">
        <f>Assumptions!$E$24*INT(Assumptions!$D$27*'Revenue Funnel'!V4)</f>
        <v>0</v>
      </c>
      <c r="W9" s="1254">
        <f>Assumptions!$E$24*INT(Assumptions!$D$27*'Revenue Funnel'!W4)</f>
        <v>0</v>
      </c>
      <c r="X9" s="1261">
        <f>Assumptions!$E$24*INT(Assumptions!$D$27*'Revenue Funnel'!X4)</f>
        <v>0</v>
      </c>
      <c r="Y9" s="1254">
        <f>Assumptions!$E$24*INT(Assumptions!$D$27*'Revenue Funnel'!Y4)</f>
        <v>0</v>
      </c>
      <c r="Z9" s="1254">
        <f>Assumptions!$E$24*INT(Assumptions!$D$27*'Revenue Funnel'!Z4)</f>
        <v>0</v>
      </c>
      <c r="AA9" s="1259">
        <f>Assumptions!$E$24*INT(Assumptions!$D$27*'Revenue Funnel'!AA4)</f>
        <v>0</v>
      </c>
      <c r="AB9" s="1260">
        <f>Assumptions!$F$24*INT(Assumptions!$D$27*'Revenue Funnel'!AB4)</f>
        <v>1000</v>
      </c>
      <c r="AC9" s="1254">
        <f>Assumptions!$F$24*INT(Assumptions!$D$27*'Revenue Funnel'!AC4)</f>
        <v>1000</v>
      </c>
      <c r="AD9" s="1261">
        <f>Assumptions!$F$24*INT(Assumptions!$D$27*'Revenue Funnel'!AD4)</f>
        <v>1000</v>
      </c>
      <c r="AE9" s="1254">
        <f>Assumptions!$F$24*INT(Assumptions!$D$27*'Revenue Funnel'!AE4)</f>
        <v>1000</v>
      </c>
      <c r="AF9" s="1254">
        <f>Assumptions!$F$24*INT(Assumptions!$D$27*'Revenue Funnel'!AF4)</f>
        <v>1000</v>
      </c>
      <c r="AG9" s="1261">
        <f>Assumptions!$F$24*INT(Assumptions!$D$27*'Revenue Funnel'!AG4)</f>
        <v>1000</v>
      </c>
      <c r="AH9" s="1254">
        <f>Assumptions!$F$24*INT(Assumptions!$D$27*'Revenue Funnel'!AH4)</f>
        <v>1000</v>
      </c>
      <c r="AI9" s="1254">
        <f>Assumptions!$F$24*INT(Assumptions!$D$27*'Revenue Funnel'!AI4)</f>
        <v>1000</v>
      </c>
      <c r="AJ9" s="1261">
        <f>Assumptions!$F$24*INT(Assumptions!$D$27*'Revenue Funnel'!AJ4)</f>
        <v>1000</v>
      </c>
      <c r="AK9" s="1254">
        <f>Assumptions!$F$24*INT(Assumptions!$D$27*'Revenue Funnel'!AK4)</f>
        <v>1000</v>
      </c>
      <c r="AL9" s="1254">
        <f>Assumptions!$F$24*INT(Assumptions!$D$27*'Revenue Funnel'!AL4)</f>
        <v>1000</v>
      </c>
      <c r="AM9" s="1259">
        <f>Assumptions!$F$24*INT(Assumptions!$D$27*'Revenue Funnel'!AM4)</f>
        <v>1000</v>
      </c>
      <c r="AN9" s="1260">
        <f>Assumptions!$G$24*INT(Assumptions!$D$27*'Revenue Funnel'!AN4)</f>
        <v>1200</v>
      </c>
      <c r="AO9" s="1254">
        <f>Assumptions!$G$24*INT(Assumptions!$D$27*'Revenue Funnel'!AO4)</f>
        <v>1200</v>
      </c>
      <c r="AP9" s="1261">
        <f>Assumptions!$G$24*INT(Assumptions!$D$27*'Revenue Funnel'!AP4)</f>
        <v>1200</v>
      </c>
      <c r="AQ9" s="1254">
        <f>Assumptions!$G$24*INT(Assumptions!$D$27*'Revenue Funnel'!AQ4)</f>
        <v>1200</v>
      </c>
      <c r="AR9" s="1254">
        <f>Assumptions!$G$24*INT(Assumptions!$D$27*'Revenue Funnel'!AR4)</f>
        <v>1200</v>
      </c>
      <c r="AS9" s="1261">
        <f>Assumptions!$G$24*INT(Assumptions!$D$27*'Revenue Funnel'!AS4)</f>
        <v>1200</v>
      </c>
      <c r="AT9" s="1254">
        <f>Assumptions!$G$24*INT(Assumptions!$D$27*'Revenue Funnel'!AT4)</f>
        <v>1200</v>
      </c>
      <c r="AU9" s="1254">
        <f>Assumptions!$G$24*INT(Assumptions!$D$27*'Revenue Funnel'!AU4)</f>
        <v>1200</v>
      </c>
      <c r="AV9" s="1261">
        <f>Assumptions!$G$24*INT(Assumptions!$D$27*'Revenue Funnel'!AV4)</f>
        <v>1200</v>
      </c>
      <c r="AW9" s="1254">
        <f>Assumptions!$G$24*INT(Assumptions!$D$27*'Revenue Funnel'!AW4)</f>
        <v>1200</v>
      </c>
      <c r="AX9" s="1254">
        <f>Assumptions!$G$24*INT(Assumptions!$D$27*'Revenue Funnel'!AX4)</f>
        <v>1200</v>
      </c>
      <c r="AY9" s="1259">
        <f>Assumptions!$G$24*INT(Assumptions!$D$27*'Revenue Funnel'!AY4)</f>
        <v>1200</v>
      </c>
      <c r="AZ9" s="1260">
        <f>Assumptions!$H$24*INT(Assumptions!$D$27*'Revenue Funnel'!AZ4)</f>
        <v>1440</v>
      </c>
      <c r="BA9" s="1254">
        <f>Assumptions!$H$24*INT(Assumptions!$D$27*'Revenue Funnel'!BA4)</f>
        <v>1440</v>
      </c>
      <c r="BB9" s="1261">
        <f>Assumptions!$H$24*INT(Assumptions!$D$27*'Revenue Funnel'!BB4)</f>
        <v>1440</v>
      </c>
      <c r="BC9" s="1254">
        <f>Assumptions!$H$24*INT(Assumptions!$D$27*'Revenue Funnel'!BC4)</f>
        <v>1440</v>
      </c>
      <c r="BD9" s="1254">
        <f>Assumptions!$H$24*INT(Assumptions!$D$27*'Revenue Funnel'!BD4)</f>
        <v>1440</v>
      </c>
      <c r="BE9" s="1261">
        <f>Assumptions!$H$24*INT(Assumptions!$D$27*'Revenue Funnel'!BE4)</f>
        <v>1440</v>
      </c>
      <c r="BF9" s="1254">
        <f>Assumptions!$H$24*INT(Assumptions!$D$27*'Revenue Funnel'!BF4)</f>
        <v>1440</v>
      </c>
      <c r="BG9" s="1254">
        <f>Assumptions!$H$24*INT(Assumptions!$D$27*'Revenue Funnel'!BG4)</f>
        <v>1440</v>
      </c>
      <c r="BH9" s="1261">
        <f>Assumptions!$H$24*INT(Assumptions!$D$27*'Revenue Funnel'!BH4)</f>
        <v>1440</v>
      </c>
      <c r="BI9" s="1254">
        <f>Assumptions!$H$24*INT(Assumptions!$D$27*'Revenue Funnel'!BI4)</f>
        <v>1440</v>
      </c>
      <c r="BJ9" s="1254">
        <f>Assumptions!$H$24*INT(Assumptions!$D$27*'Revenue Funnel'!BJ4)</f>
        <v>1440</v>
      </c>
      <c r="BK9" s="1259">
        <f>Assumptions!$H$24*INT(Assumptions!$D$27*'Revenue Funnel'!BK4)</f>
        <v>1440</v>
      </c>
      <c r="BL9" s="902"/>
      <c r="BM9" s="984"/>
      <c r="BP9" s="888"/>
      <c r="BQ9" s="888"/>
      <c r="BR9" s="242"/>
      <c r="BS9" s="888"/>
      <c r="BT9" s="888"/>
      <c r="BU9" s="888"/>
      <c r="BV9" s="888"/>
      <c r="BW9" s="888"/>
    </row>
    <row r="10" spans="2:75" s="879" customFormat="1" ht="16.2" thickBot="1">
      <c r="B10" s="1504"/>
      <c r="C10" s="1355" t="s">
        <v>482</v>
      </c>
      <c r="D10" s="1353"/>
      <c r="E10" s="1353"/>
      <c r="F10" s="1352"/>
      <c r="G10" s="1353"/>
      <c r="H10" s="1242"/>
      <c r="I10" s="1267"/>
      <c r="J10" s="1353"/>
      <c r="K10" s="1242"/>
      <c r="L10" s="1267"/>
      <c r="M10" s="1242">
        <f>M6+M7+M8+M9</f>
        <v>3200</v>
      </c>
      <c r="N10" s="1242">
        <f>N6+N7+N8+N9</f>
        <v>3200</v>
      </c>
      <c r="O10" s="1266">
        <f aca="true" t="shared" si="1" ref="O10:BK10">O6+O7+O8+O9</f>
        <v>3200</v>
      </c>
      <c r="P10" s="1354">
        <f>P6+P7+P8+P9</f>
        <v>8000</v>
      </c>
      <c r="Q10" s="1353">
        <f t="shared" si="1"/>
        <v>8000</v>
      </c>
      <c r="R10" s="1352">
        <f t="shared" si="1"/>
        <v>8000</v>
      </c>
      <c r="S10" s="1353">
        <f t="shared" si="1"/>
        <v>8000</v>
      </c>
      <c r="T10" s="1242">
        <f t="shared" si="1"/>
        <v>8000</v>
      </c>
      <c r="U10" s="1267">
        <f t="shared" si="1"/>
        <v>8000</v>
      </c>
      <c r="V10" s="1353">
        <f t="shared" si="1"/>
        <v>12250</v>
      </c>
      <c r="W10" s="1242">
        <f t="shared" si="1"/>
        <v>12250</v>
      </c>
      <c r="X10" s="1267">
        <f t="shared" si="1"/>
        <v>12250</v>
      </c>
      <c r="Y10" s="1242">
        <f t="shared" si="1"/>
        <v>12250</v>
      </c>
      <c r="Z10" s="1242">
        <f t="shared" si="1"/>
        <v>12250</v>
      </c>
      <c r="AA10" s="1266">
        <f t="shared" si="1"/>
        <v>12250</v>
      </c>
      <c r="AB10" s="1268">
        <f t="shared" si="1"/>
        <v>25199.999999999996</v>
      </c>
      <c r="AC10" s="1242">
        <f t="shared" si="1"/>
        <v>25199.999999999996</v>
      </c>
      <c r="AD10" s="1267">
        <f t="shared" si="1"/>
        <v>25199.999999999996</v>
      </c>
      <c r="AE10" s="1353">
        <f t="shared" si="1"/>
        <v>25199.999999999996</v>
      </c>
      <c r="AF10" s="1242">
        <f t="shared" si="1"/>
        <v>25199.999999999996</v>
      </c>
      <c r="AG10" s="1267">
        <f t="shared" si="1"/>
        <v>25199.999999999996</v>
      </c>
      <c r="AH10" s="1353">
        <f t="shared" si="1"/>
        <v>25199.999999999996</v>
      </c>
      <c r="AI10" s="1242">
        <f t="shared" si="1"/>
        <v>25199.999999999996</v>
      </c>
      <c r="AJ10" s="1267">
        <f t="shared" si="1"/>
        <v>25199.999999999996</v>
      </c>
      <c r="AK10" s="1242">
        <f t="shared" si="1"/>
        <v>25199.999999999996</v>
      </c>
      <c r="AL10" s="1242">
        <f t="shared" si="1"/>
        <v>25199.999999999996</v>
      </c>
      <c r="AM10" s="1266">
        <f t="shared" si="1"/>
        <v>25199.999999999996</v>
      </c>
      <c r="AN10" s="1268">
        <f t="shared" si="1"/>
        <v>47075.99999999999</v>
      </c>
      <c r="AO10" s="1242">
        <f t="shared" si="1"/>
        <v>47075.99999999999</v>
      </c>
      <c r="AP10" s="1267">
        <f t="shared" si="1"/>
        <v>47075.99999999999</v>
      </c>
      <c r="AQ10" s="1353">
        <f t="shared" si="1"/>
        <v>47075.99999999999</v>
      </c>
      <c r="AR10" s="1242">
        <f t="shared" si="1"/>
        <v>47075.99999999999</v>
      </c>
      <c r="AS10" s="1267">
        <f t="shared" si="1"/>
        <v>47075.99999999999</v>
      </c>
      <c r="AT10" s="1353">
        <f t="shared" si="1"/>
        <v>47075.99999999999</v>
      </c>
      <c r="AU10" s="1242">
        <f t="shared" si="1"/>
        <v>47075.99999999999</v>
      </c>
      <c r="AV10" s="1267">
        <f t="shared" si="1"/>
        <v>47075.99999999999</v>
      </c>
      <c r="AW10" s="1242">
        <f t="shared" si="1"/>
        <v>47075.99999999999</v>
      </c>
      <c r="AX10" s="1242">
        <f t="shared" si="1"/>
        <v>47075.99999999999</v>
      </c>
      <c r="AY10" s="1266">
        <f t="shared" si="1"/>
        <v>47075.99999999999</v>
      </c>
      <c r="AZ10" s="1268">
        <f t="shared" si="1"/>
        <v>80252.09999999998</v>
      </c>
      <c r="BA10" s="1242">
        <f t="shared" si="1"/>
        <v>80252.09999999998</v>
      </c>
      <c r="BB10" s="1267">
        <f t="shared" si="1"/>
        <v>80252.09999999998</v>
      </c>
      <c r="BC10" s="1353">
        <f>BC6+BC7+BC8+BC9</f>
        <v>80252.09999999998</v>
      </c>
      <c r="BD10" s="1242">
        <f t="shared" si="1"/>
        <v>80252.09999999998</v>
      </c>
      <c r="BE10" s="1267">
        <f t="shared" si="1"/>
        <v>80252.09999999998</v>
      </c>
      <c r="BF10" s="1353">
        <f t="shared" si="1"/>
        <v>80252.09999999998</v>
      </c>
      <c r="BG10" s="1242">
        <f t="shared" si="1"/>
        <v>80252.09999999998</v>
      </c>
      <c r="BH10" s="1267">
        <f t="shared" si="1"/>
        <v>80252.09999999998</v>
      </c>
      <c r="BI10" s="1242">
        <f t="shared" si="1"/>
        <v>80252.09999999998</v>
      </c>
      <c r="BJ10" s="1242">
        <f t="shared" si="1"/>
        <v>80252.09999999998</v>
      </c>
      <c r="BK10" s="1266">
        <f t="shared" si="1"/>
        <v>80252.09999999998</v>
      </c>
      <c r="BL10" s="902"/>
      <c r="BM10" s="982"/>
      <c r="BP10" s="889"/>
      <c r="BQ10" s="889"/>
      <c r="BR10" s="889"/>
      <c r="BS10" s="889"/>
      <c r="BT10" s="889"/>
      <c r="BU10" s="889"/>
      <c r="BV10" s="889"/>
      <c r="BW10" s="889"/>
    </row>
    <row r="11" spans="2:75" ht="15.75">
      <c r="B11" s="1505" t="s">
        <v>485</v>
      </c>
      <c r="C11" s="1269" t="s">
        <v>486</v>
      </c>
      <c r="D11" s="994"/>
      <c r="E11" s="995"/>
      <c r="F11" s="996"/>
      <c r="G11" s="995"/>
      <c r="H11" s="995"/>
      <c r="I11" s="1423">
        <v>1</v>
      </c>
      <c r="J11" s="1424">
        <v>1</v>
      </c>
      <c r="K11" s="995"/>
      <c r="L11" s="996"/>
      <c r="M11" s="1270">
        <v>1</v>
      </c>
      <c r="N11" s="1270">
        <v>1</v>
      </c>
      <c r="O11" s="1271">
        <v>1</v>
      </c>
      <c r="P11" s="1275">
        <v>1</v>
      </c>
      <c r="Q11" s="1272">
        <f aca="true" t="shared" si="2" ref="Q11:BK11">+P11</f>
        <v>1</v>
      </c>
      <c r="R11" s="1273">
        <f t="shared" si="2"/>
        <v>1</v>
      </c>
      <c r="S11" s="1272">
        <f t="shared" si="2"/>
        <v>1</v>
      </c>
      <c r="T11" s="1272">
        <f t="shared" si="2"/>
        <v>1</v>
      </c>
      <c r="U11" s="1273">
        <f t="shared" si="2"/>
        <v>1</v>
      </c>
      <c r="V11" s="1272">
        <f t="shared" si="2"/>
        <v>1</v>
      </c>
      <c r="W11" s="1272">
        <f t="shared" si="2"/>
        <v>1</v>
      </c>
      <c r="X11" s="1273">
        <f t="shared" si="2"/>
        <v>1</v>
      </c>
      <c r="Y11" s="1272">
        <f t="shared" si="2"/>
        <v>1</v>
      </c>
      <c r="Z11" s="1272">
        <f t="shared" si="2"/>
        <v>1</v>
      </c>
      <c r="AA11" s="1274">
        <f t="shared" si="2"/>
        <v>1</v>
      </c>
      <c r="AB11" s="1275">
        <v>2</v>
      </c>
      <c r="AC11" s="1272">
        <f t="shared" si="2"/>
        <v>2</v>
      </c>
      <c r="AD11" s="1273">
        <f t="shared" si="2"/>
        <v>2</v>
      </c>
      <c r="AE11" s="1272">
        <f t="shared" si="2"/>
        <v>2</v>
      </c>
      <c r="AF11" s="1272">
        <f t="shared" si="2"/>
        <v>2</v>
      </c>
      <c r="AG11" s="1273">
        <f t="shared" si="2"/>
        <v>2</v>
      </c>
      <c r="AH11" s="1272">
        <f t="shared" si="2"/>
        <v>2</v>
      </c>
      <c r="AI11" s="1272">
        <f t="shared" si="2"/>
        <v>2</v>
      </c>
      <c r="AJ11" s="1273">
        <f t="shared" si="2"/>
        <v>2</v>
      </c>
      <c r="AK11" s="1272">
        <f t="shared" si="2"/>
        <v>2</v>
      </c>
      <c r="AL11" s="1272">
        <f t="shared" si="2"/>
        <v>2</v>
      </c>
      <c r="AM11" s="1274">
        <f t="shared" si="2"/>
        <v>2</v>
      </c>
      <c r="AN11" s="1275">
        <v>3</v>
      </c>
      <c r="AO11" s="1272">
        <f t="shared" si="2"/>
        <v>3</v>
      </c>
      <c r="AP11" s="1273">
        <f t="shared" si="2"/>
        <v>3</v>
      </c>
      <c r="AQ11" s="1272">
        <f t="shared" si="2"/>
        <v>3</v>
      </c>
      <c r="AR11" s="1272">
        <f t="shared" si="2"/>
        <v>3</v>
      </c>
      <c r="AS11" s="1273">
        <f t="shared" si="2"/>
        <v>3</v>
      </c>
      <c r="AT11" s="1270">
        <v>4</v>
      </c>
      <c r="AU11" s="1272">
        <f t="shared" si="2"/>
        <v>4</v>
      </c>
      <c r="AV11" s="1273">
        <f t="shared" si="2"/>
        <v>4</v>
      </c>
      <c r="AW11" s="1272">
        <f t="shared" si="2"/>
        <v>4</v>
      </c>
      <c r="AX11" s="1272">
        <f t="shared" si="2"/>
        <v>4</v>
      </c>
      <c r="AY11" s="1274">
        <f t="shared" si="2"/>
        <v>4</v>
      </c>
      <c r="AZ11" s="1275">
        <v>5</v>
      </c>
      <c r="BA11" s="1272">
        <f t="shared" si="2"/>
        <v>5</v>
      </c>
      <c r="BB11" s="1273">
        <f t="shared" si="2"/>
        <v>5</v>
      </c>
      <c r="BC11" s="1272">
        <f t="shared" si="2"/>
        <v>5</v>
      </c>
      <c r="BD11" s="1272">
        <f t="shared" si="2"/>
        <v>5</v>
      </c>
      <c r="BE11" s="1273">
        <f t="shared" si="2"/>
        <v>5</v>
      </c>
      <c r="BF11" s="1270">
        <v>6</v>
      </c>
      <c r="BG11" s="1272">
        <f t="shared" si="2"/>
        <v>6</v>
      </c>
      <c r="BH11" s="1273">
        <f t="shared" si="2"/>
        <v>6</v>
      </c>
      <c r="BI11" s="1272">
        <f t="shared" si="2"/>
        <v>6</v>
      </c>
      <c r="BJ11" s="1272">
        <f t="shared" si="2"/>
        <v>6</v>
      </c>
      <c r="BK11" s="1274">
        <f t="shared" si="2"/>
        <v>6</v>
      </c>
      <c r="BL11" s="883"/>
      <c r="BM11" s="982"/>
      <c r="BN11" s="218"/>
      <c r="BP11" s="91"/>
      <c r="BQ11" s="91"/>
      <c r="BR11" s="91"/>
      <c r="BS11" s="91"/>
      <c r="BT11" s="91"/>
      <c r="BU11" s="91"/>
      <c r="BV11" s="91"/>
      <c r="BW11" s="91"/>
    </row>
    <row r="12" spans="2:75" ht="16.2" thickBot="1">
      <c r="B12" s="1506"/>
      <c r="C12" s="1351" t="s">
        <v>561</v>
      </c>
      <c r="D12" s="1350"/>
      <c r="E12" s="1349"/>
      <c r="F12" s="1348"/>
      <c r="G12" s="1349"/>
      <c r="H12" s="1349"/>
      <c r="I12" s="1398">
        <v>8370</v>
      </c>
      <c r="J12" s="1399">
        <v>2780</v>
      </c>
      <c r="K12" s="1349"/>
      <c r="L12" s="1348"/>
      <c r="M12" s="1349">
        <f>+SUM(Assumptions!$E$30:$E$31)*'Revenue Funnel'!M11</f>
        <v>11000</v>
      </c>
      <c r="N12" s="1349">
        <f>+SUM(Assumptions!$E$30:$E$31)*'Revenue Funnel'!N11</f>
        <v>11000</v>
      </c>
      <c r="O12" s="1347">
        <f>+SUM(Assumptions!$E$30:$E$31)*'Revenue Funnel'!O11</f>
        <v>11000</v>
      </c>
      <c r="P12" s="1350">
        <f>+(Assumptions!$D$30+Assumptions!$D$31+INT(Assumptions!$E$32*Assumptions!$E$37)+INT(Assumptions!$E$33*Assumptions!$E$38)+INT(Assumptions!$E$34*Assumptions!$E$39)+INT(Assumptions!$E$35*Assumptions!$E$40)+INT(Assumptions!$E$36*Assumptions!$E$41))*'Revenue Funnel'!P11</f>
        <v>11825</v>
      </c>
      <c r="Q12" s="1349">
        <f>+(Assumptions!$D$30+Assumptions!$D$31+INT(Assumptions!$E$32*Assumptions!$E$37)+INT(Assumptions!$E$33*Assumptions!$E$38)+INT(Assumptions!$E$34*Assumptions!$E$39)+INT(Assumptions!$E$35*Assumptions!$E$40)+INT(Assumptions!$E$36*Assumptions!$E$41))*'Revenue Funnel'!Q11</f>
        <v>11825</v>
      </c>
      <c r="R12" s="1348">
        <f>+(Assumptions!$D$30+Assumptions!$D$31+INT(Assumptions!$E$32*Assumptions!$E$37)+INT(Assumptions!$E$33*Assumptions!$E$38)+INT(Assumptions!$E$34*Assumptions!$E$39)+INT(Assumptions!$E$35*Assumptions!$E$40)+INT(Assumptions!$E$36*Assumptions!$E$41))*'Revenue Funnel'!R11</f>
        <v>11825</v>
      </c>
      <c r="S12" s="1349">
        <f>+(Assumptions!$D$30+Assumptions!$D$31+INT(Assumptions!$E$32*Assumptions!$E$37)+INT(Assumptions!$E$33*Assumptions!$E$38)+INT(Assumptions!$E$34*Assumptions!$E$39)+INT(Assumptions!$E$35*Assumptions!$E$40)+INT(Assumptions!$E$36*Assumptions!$E$41))*'Revenue Funnel'!S11</f>
        <v>11825</v>
      </c>
      <c r="T12" s="1349">
        <f>+(Assumptions!$D$30+Assumptions!$D$31+INT(Assumptions!$E$32*Assumptions!$E$37)+INT(Assumptions!$E$33*Assumptions!$E$38)+INT(Assumptions!$E$34*Assumptions!$E$39)+INT(Assumptions!$E$35*Assumptions!$E$40)+INT(Assumptions!$E$36*Assumptions!$E$41))*'Revenue Funnel'!T11</f>
        <v>11825</v>
      </c>
      <c r="U12" s="1348">
        <f>+(Assumptions!$D$30+Assumptions!$D$31+INT(Assumptions!$E$32*Assumptions!$E$37)+INT(Assumptions!$E$33*Assumptions!$E$38)+INT(Assumptions!$E$34*Assumptions!$E$39)+INT(Assumptions!$E$35*Assumptions!$E$40)+INT(Assumptions!$E$36*Assumptions!$E$41))*'Revenue Funnel'!U11</f>
        <v>11825</v>
      </c>
      <c r="V12" s="1349">
        <f>+(Assumptions!$D$30+Assumptions!$D$31+INT(Assumptions!$E$32*Assumptions!$E$37)+INT(Assumptions!$E$33*Assumptions!$E$38)+INT(Assumptions!$E$34*Assumptions!$E$39)+INT(Assumptions!$E$35*Assumptions!$E$40)+INT(Assumptions!$E$36*Assumptions!$E$41))*'Revenue Funnel'!V11</f>
        <v>11825</v>
      </c>
      <c r="W12" s="1349">
        <f>+(Assumptions!$D$30+Assumptions!$D$31+INT(Assumptions!$E$32*Assumptions!$E$37)+INT(Assumptions!$E$33*Assumptions!$E$38)+INT(Assumptions!$E$34*Assumptions!$E$39)+INT(Assumptions!$E$35*Assumptions!$E$40)+INT(Assumptions!$E$36*Assumptions!$E$41))*'Revenue Funnel'!W11</f>
        <v>11825</v>
      </c>
      <c r="X12" s="1348">
        <f>+(Assumptions!$D$30+Assumptions!$D$31+INT(Assumptions!$E$32*Assumptions!$E$37)+INT(Assumptions!$E$33*Assumptions!$E$38)+INT(Assumptions!$E$34*Assumptions!$E$39)+INT(Assumptions!$E$35*Assumptions!$E$40)+INT(Assumptions!$E$36*Assumptions!$E$41))*'Revenue Funnel'!X11</f>
        <v>11825</v>
      </c>
      <c r="Y12" s="1349">
        <f>+(Assumptions!$D$30+Assumptions!$D$31+INT(Assumptions!$E$32*Assumptions!$E$37)+INT(Assumptions!$E$33*Assumptions!$E$38)+INT(Assumptions!$E$34*Assumptions!$E$39)+INT(Assumptions!$E$35*Assumptions!$E$40)+INT(Assumptions!$E$36*Assumptions!$E$41))*'Revenue Funnel'!Y11</f>
        <v>11825</v>
      </c>
      <c r="Z12" s="1349">
        <f>+(Assumptions!$D$30+Assumptions!$D$31+INT(Assumptions!$E$32*Assumptions!$E$37)+INT(Assumptions!$E$33*Assumptions!$E$38)+INT(Assumptions!$E$34*Assumptions!$E$39)+INT(Assumptions!$E$35*Assumptions!$E$40)+INT(Assumptions!$E$36*Assumptions!$E$41))*'Revenue Funnel'!Z11</f>
        <v>11825</v>
      </c>
      <c r="AA12" s="1347">
        <f>+(Assumptions!$D$30+Assumptions!$D$31+INT(Assumptions!$E$32*Assumptions!$E$37)+INT(Assumptions!$E$33*Assumptions!$E$38)+INT(Assumptions!$E$34*Assumptions!$E$39)+INT(Assumptions!$E$35*Assumptions!$E$40)+INT(Assumptions!$E$36*Assumptions!$E$41))*'Revenue Funnel'!AA11</f>
        <v>11825</v>
      </c>
      <c r="AB12" s="1350">
        <f>+(Assumptions!$D$30+Assumptions!$D$31+INT(Assumptions!$E$32*Assumptions!$F$37)+INT(Assumptions!$E$33*Assumptions!$F$38)+INT(Assumptions!$E$34*Assumptions!$F$39)+INT(Assumptions!$E$35*Assumptions!$F$40)+INT(Assumptions!$E$36*Assumptions!$F$41))*'Revenue Funnel'!AB11</f>
        <v>23814</v>
      </c>
      <c r="AC12" s="1349">
        <f>+(Assumptions!$D$30+Assumptions!$D$31+INT(Assumptions!$E$32*Assumptions!$F$37)+INT(Assumptions!$E$33*Assumptions!$F$38)+INT(Assumptions!$E$34*Assumptions!$F$39)+INT(Assumptions!$E$35*Assumptions!$F$40)+INT(Assumptions!$E$36*Assumptions!$F$41))*'Revenue Funnel'!AC11</f>
        <v>23814</v>
      </c>
      <c r="AD12" s="1348">
        <f>+(Assumptions!$D$30+Assumptions!$D$31+INT(Assumptions!$E$32*Assumptions!$F$37)+INT(Assumptions!$E$33*Assumptions!$F$38)+INT(Assumptions!$E$34*Assumptions!$F$39)+INT(Assumptions!$E$35*Assumptions!$F$40)+INT(Assumptions!$E$36*Assumptions!$F$41))*'Revenue Funnel'!AD11</f>
        <v>23814</v>
      </c>
      <c r="AE12" s="1349">
        <f>+(Assumptions!$D$30+Assumptions!$D$31+INT(Assumptions!$E$32*Assumptions!$F$37)+INT(Assumptions!$E$33*Assumptions!$F$38)+INT(Assumptions!$E$34*Assumptions!$F$39)+INT(Assumptions!$E$35*Assumptions!$F$40)+INT(Assumptions!$E$36*Assumptions!$F$41))*'Revenue Funnel'!AE11</f>
        <v>23814</v>
      </c>
      <c r="AF12" s="1349">
        <f>+(Assumptions!$D$30+Assumptions!$D$31+INT(Assumptions!$E$32*Assumptions!$F$37)+INT(Assumptions!$E$33*Assumptions!$F$38)+INT(Assumptions!$E$34*Assumptions!$F$39)+INT(Assumptions!$E$35*Assumptions!$F$40)+INT(Assumptions!$E$36*Assumptions!$F$41))*'Revenue Funnel'!AF11</f>
        <v>23814</v>
      </c>
      <c r="AG12" s="1348">
        <f>+(Assumptions!$D$30+Assumptions!$D$31+INT(Assumptions!$E$32*Assumptions!$F$37)+INT(Assumptions!$E$33*Assumptions!$F$38)+INT(Assumptions!$E$34*Assumptions!$F$39)+INT(Assumptions!$E$35*Assumptions!$F$40)+INT(Assumptions!$E$36*Assumptions!$F$41))*'Revenue Funnel'!AG11</f>
        <v>23814</v>
      </c>
      <c r="AH12" s="1349">
        <f>+(Assumptions!$D$30+Assumptions!$D$31+INT(Assumptions!$E$32*Assumptions!$F$37)+INT(Assumptions!$E$33*Assumptions!$F$38)+INT(Assumptions!$E$34*Assumptions!$F$39)+INT(Assumptions!$E$35*Assumptions!$F$40)+INT(Assumptions!$E$36*Assumptions!$F$41))*'Revenue Funnel'!AH11</f>
        <v>23814</v>
      </c>
      <c r="AI12" s="1349">
        <f>+(Assumptions!$D$30+Assumptions!$D$31+INT(Assumptions!$E$32*Assumptions!$F$37)+INT(Assumptions!$E$33*Assumptions!$F$38)+INT(Assumptions!$E$34*Assumptions!$F$39)+INT(Assumptions!$E$35*Assumptions!$F$40)+INT(Assumptions!$E$36*Assumptions!$F$41))*'Revenue Funnel'!AI11</f>
        <v>23814</v>
      </c>
      <c r="AJ12" s="1348">
        <f>+(Assumptions!$D$30+Assumptions!$D$31+INT(Assumptions!$E$32*Assumptions!$F$37)+INT(Assumptions!$E$33*Assumptions!$F$38)+INT(Assumptions!$E$34*Assumptions!$F$39)+INT(Assumptions!$E$35*Assumptions!$F$40)+INT(Assumptions!$E$36*Assumptions!$F$41))*'Revenue Funnel'!AJ11</f>
        <v>23814</v>
      </c>
      <c r="AK12" s="1349">
        <f>+(Assumptions!$D$30+Assumptions!$D$31+INT(Assumptions!$E$32*Assumptions!$F$37)+INT(Assumptions!$E$33*Assumptions!$F$38)+INT(Assumptions!$E$34*Assumptions!$F$39)+INT(Assumptions!$E$35*Assumptions!$F$40)+INT(Assumptions!$E$36*Assumptions!$F$41))*'Revenue Funnel'!AK11</f>
        <v>23814</v>
      </c>
      <c r="AL12" s="1349">
        <f>+(Assumptions!$D$30+Assumptions!$D$31+INT(Assumptions!$E$32*Assumptions!$F$37)+INT(Assumptions!$E$33*Assumptions!$F$38)+INT(Assumptions!$E$34*Assumptions!$F$39)+INT(Assumptions!$E$35*Assumptions!$F$40)+INT(Assumptions!$E$36*Assumptions!$F$41))*'Revenue Funnel'!AL11</f>
        <v>23814</v>
      </c>
      <c r="AM12" s="1347">
        <f>+(Assumptions!$D$30+Assumptions!$D$31+INT(Assumptions!$E$32*Assumptions!$F$37)+INT(Assumptions!$E$33*Assumptions!$F$38)+INT(Assumptions!$E$34*Assumptions!$F$39)+INT(Assumptions!$E$35*Assumptions!$F$40)+INT(Assumptions!$E$36*Assumptions!$F$41))*'Revenue Funnel'!AM11</f>
        <v>23814</v>
      </c>
      <c r="AN12" s="1350">
        <f>+(Assumptions!$D$30+Assumptions!$D$31+INT(Assumptions!$E$32*Assumptions!$G$37)+INT(Assumptions!$E$33*Assumptions!$G$38)+INT(Assumptions!$E$34*Assumptions!$G$39)+INT(Assumptions!$E$35*Assumptions!$G$40)+INT(Assumptions!$E$36*Assumptions!$G$41))*'Revenue Funnel'!AN11</f>
        <v>35997</v>
      </c>
      <c r="AO12" s="1349">
        <f>+(Assumptions!$D$30+Assumptions!$D$31+INT(Assumptions!$E$32*Assumptions!$G$37)+INT(Assumptions!$E$33*Assumptions!$G$38)+INT(Assumptions!$E$34*Assumptions!$G$39)+INT(Assumptions!$E$35*Assumptions!$G$40)+INT(Assumptions!$E$36*Assumptions!$G$41))*'Revenue Funnel'!AO11</f>
        <v>35997</v>
      </c>
      <c r="AP12" s="1348">
        <f>+(Assumptions!$D$30+Assumptions!$D$31+INT(Assumptions!$E$32*Assumptions!$G$37)+INT(Assumptions!$E$33*Assumptions!$G$38)+INT(Assumptions!$E$34*Assumptions!$G$39)+INT(Assumptions!$E$35*Assumptions!$G$40)+INT(Assumptions!$E$36*Assumptions!$G$41))*'Revenue Funnel'!AP11</f>
        <v>35997</v>
      </c>
      <c r="AQ12" s="1349">
        <f>+(Assumptions!$D$30+Assumptions!$D$31+INT(Assumptions!$E$32*Assumptions!$G$37)+INT(Assumptions!$E$33*Assumptions!$G$38)+INT(Assumptions!$E$34*Assumptions!$G$39)+INT(Assumptions!$E$35*Assumptions!$G$40)+INT(Assumptions!$E$36*Assumptions!$G$41))*'Revenue Funnel'!AQ11</f>
        <v>35997</v>
      </c>
      <c r="AR12" s="1349">
        <f>+(Assumptions!$D$30+Assumptions!$D$31+INT(Assumptions!$E$32*Assumptions!$G$37)+INT(Assumptions!$E$33*Assumptions!$G$38)+INT(Assumptions!$E$34*Assumptions!$G$39)+INT(Assumptions!$E$35*Assumptions!$G$40)+INT(Assumptions!$E$36*Assumptions!$G$41))*'Revenue Funnel'!AR11</f>
        <v>35997</v>
      </c>
      <c r="AS12" s="1348">
        <f>+(Assumptions!$D$30+Assumptions!$D$31+INT(Assumptions!$E$32*Assumptions!$G$37)+INT(Assumptions!$E$33*Assumptions!$G$38)+INT(Assumptions!$E$34*Assumptions!$G$39)+INT(Assumptions!$E$35*Assumptions!$G$40)+INT(Assumptions!$E$36*Assumptions!$G$41))*'Revenue Funnel'!AS11</f>
        <v>35997</v>
      </c>
      <c r="AT12" s="1349">
        <f>+(Assumptions!$D$30+Assumptions!$D$31+INT(Assumptions!$E$32*Assumptions!$G$37)+INT(Assumptions!$E$33*Assumptions!$G$38)+INT(Assumptions!$E$34*Assumptions!$G$39)+INT(Assumptions!$E$35*Assumptions!$G$40)+INT(Assumptions!$E$36*Assumptions!$G$41))*'Revenue Funnel'!AT11</f>
        <v>47996</v>
      </c>
      <c r="AU12" s="1349">
        <f>+(Assumptions!$D$30+Assumptions!$D$31+INT(Assumptions!$E$32*Assumptions!$G$37)+INT(Assumptions!$E$33*Assumptions!$G$38)+INT(Assumptions!$E$34*Assumptions!$G$39)+INT(Assumptions!$E$35*Assumptions!$G$40)+INT(Assumptions!$E$36*Assumptions!$G$41))*'Revenue Funnel'!AU11</f>
        <v>47996</v>
      </c>
      <c r="AV12" s="1348">
        <f>+(Assumptions!$D$30+Assumptions!$D$31+INT(Assumptions!$E$32*Assumptions!$G$37)+INT(Assumptions!$E$33*Assumptions!$G$38)+INT(Assumptions!$E$34*Assumptions!$G$39)+INT(Assumptions!$E$35*Assumptions!$G$40)+INT(Assumptions!$E$36*Assumptions!$G$41))*'Revenue Funnel'!AV11</f>
        <v>47996</v>
      </c>
      <c r="AW12" s="1349">
        <f>+(Assumptions!$D$30+Assumptions!$D$31+INT(Assumptions!$E$32*Assumptions!$G$37)+INT(Assumptions!$E$33*Assumptions!$G$38)+INT(Assumptions!$E$34*Assumptions!$G$39)+INT(Assumptions!$E$35*Assumptions!$G$40)+INT(Assumptions!$E$36*Assumptions!$G$41))*'Revenue Funnel'!AW11</f>
        <v>47996</v>
      </c>
      <c r="AX12" s="1349">
        <f>+(Assumptions!$D$30+Assumptions!$D$31+INT(Assumptions!$E$32*Assumptions!$G$37)+INT(Assumptions!$E$33*Assumptions!$G$38)+INT(Assumptions!$E$34*Assumptions!$G$39)+INT(Assumptions!$E$35*Assumptions!$G$40)+INT(Assumptions!$E$36*Assumptions!$G$41))*'Revenue Funnel'!AX11</f>
        <v>47996</v>
      </c>
      <c r="AY12" s="1347">
        <f>+(Assumptions!$D$30+Assumptions!$D$31+INT(Assumptions!$E$32*Assumptions!$G$37)+INT(Assumptions!$E$33*Assumptions!$G$38)+INT(Assumptions!$E$34*Assumptions!$G$39)+INT(Assumptions!$E$35*Assumptions!$G$40)+INT(Assumptions!$E$36*Assumptions!$G$41))*'Revenue Funnel'!AY11</f>
        <v>47996</v>
      </c>
      <c r="AZ12" s="1350">
        <f>+(Assumptions!$D$30+Assumptions!$D$31+INT(Assumptions!$E$32*Assumptions!$H$37)+INT(Assumptions!$E$33*Assumptions!$H$38)+INT(Assumptions!$E$34*Assumptions!$H$39)+INT(Assumptions!$E$35*Assumptions!$H$40)+INT(Assumptions!$E$36*Assumptions!$H$41))*'Revenue Funnel'!AZ11</f>
        <v>60505</v>
      </c>
      <c r="BA12" s="1349">
        <f>+(Assumptions!$D$30+Assumptions!$D$31+INT(Assumptions!$E$32*Assumptions!$H$37)+INT(Assumptions!$E$33*Assumptions!$H$38)+INT(Assumptions!$E$34*Assumptions!$H$39)+INT(Assumptions!$E$35*Assumptions!$H$40)+INT(Assumptions!$E$36*Assumptions!$H$41))*'Revenue Funnel'!BA11</f>
        <v>60505</v>
      </c>
      <c r="BB12" s="1348">
        <f>+(Assumptions!$D$30+Assumptions!$D$31+INT(Assumptions!$E$32*Assumptions!$H$37)+INT(Assumptions!$E$33*Assumptions!$H$38)+INT(Assumptions!$E$34*Assumptions!$H$39)+INT(Assumptions!$E$35*Assumptions!$H$40)+INT(Assumptions!$E$36*Assumptions!$H$41))*'Revenue Funnel'!BB11</f>
        <v>60505</v>
      </c>
      <c r="BC12" s="1349">
        <f>+(Assumptions!$D$30+Assumptions!$D$31+INT(Assumptions!$E$32*Assumptions!$H$37)+INT(Assumptions!$E$33*Assumptions!$H$38)+INT(Assumptions!$E$34*Assumptions!$H$39)+INT(Assumptions!$E$35*Assumptions!$H$40)+INT(Assumptions!$E$36*Assumptions!$H$41))*'Revenue Funnel'!BC11</f>
        <v>60505</v>
      </c>
      <c r="BD12" s="1349">
        <f>+(Assumptions!$D$30+Assumptions!$D$31+INT(Assumptions!$E$32*Assumptions!$H$37)+INT(Assumptions!$E$33*Assumptions!$H$38)+INT(Assumptions!$E$34*Assumptions!$H$39)+INT(Assumptions!$E$35*Assumptions!$H$40)+INT(Assumptions!$E$36*Assumptions!$H$41))*'Revenue Funnel'!BD11</f>
        <v>60505</v>
      </c>
      <c r="BE12" s="1348">
        <f>+(Assumptions!$D$30+Assumptions!$D$31+INT(Assumptions!$E$32*Assumptions!$H$37)+INT(Assumptions!$E$33*Assumptions!$H$38)+INT(Assumptions!$E$34*Assumptions!$H$39)+INT(Assumptions!$E$35*Assumptions!$H$40)+INT(Assumptions!$E$36*Assumptions!$H$41))*'Revenue Funnel'!BE11</f>
        <v>60505</v>
      </c>
      <c r="BF12" s="1349">
        <f>+(Assumptions!$D$30+Assumptions!$D$31+INT(Assumptions!$E$32*Assumptions!$H$37)+INT(Assumptions!$E$33*Assumptions!$H$38)+INT(Assumptions!$E$34*Assumptions!$H$39)+INT(Assumptions!$E$35*Assumptions!$H$40)+INT(Assumptions!$E$36*Assumptions!$H$41))*'Revenue Funnel'!BF11</f>
        <v>72606</v>
      </c>
      <c r="BG12" s="1349">
        <f>+(Assumptions!$D$30+Assumptions!$D$31+INT(Assumptions!$E$32*Assumptions!$H$37)+INT(Assumptions!$E$33*Assumptions!$H$38)+INT(Assumptions!$E$34*Assumptions!$H$39)+INT(Assumptions!$E$35*Assumptions!$H$40)+INT(Assumptions!$E$36*Assumptions!$H$41))*'Revenue Funnel'!BG11</f>
        <v>72606</v>
      </c>
      <c r="BH12" s="1348">
        <f>+(Assumptions!$D$30+Assumptions!$D$31+INT(Assumptions!$E$32*Assumptions!$H$37)+INT(Assumptions!$E$33*Assumptions!$H$38)+INT(Assumptions!$E$34*Assumptions!$H$39)+INT(Assumptions!$E$35*Assumptions!$H$40)+INT(Assumptions!$E$36*Assumptions!$H$41))*'Revenue Funnel'!BH11</f>
        <v>72606</v>
      </c>
      <c r="BI12" s="1349">
        <f>+(Assumptions!$D$30+Assumptions!$D$31+INT(Assumptions!$E$32*Assumptions!$H$37)+INT(Assumptions!$E$33*Assumptions!$H$38)+INT(Assumptions!$E$34*Assumptions!$H$39)+INT(Assumptions!$E$35*Assumptions!$H$40)+INT(Assumptions!$E$36*Assumptions!$H$41))*'Revenue Funnel'!BI11</f>
        <v>72606</v>
      </c>
      <c r="BJ12" s="1349">
        <f>+(Assumptions!$D$30+Assumptions!$D$31+INT(Assumptions!$E$32*Assumptions!$H$37)+INT(Assumptions!$E$33*Assumptions!$H$38)+INT(Assumptions!$E$34*Assumptions!$H$39)+INT(Assumptions!$E$35*Assumptions!$H$40)+INT(Assumptions!$E$36*Assumptions!$H$41))*'Revenue Funnel'!BJ11</f>
        <v>72606</v>
      </c>
      <c r="BK12" s="1347">
        <f>+(Assumptions!$D$30+Assumptions!$D$31+INT(Assumptions!$E$32*Assumptions!$H$37)+INT(Assumptions!$E$33*Assumptions!$H$38)+INT(Assumptions!$E$34*Assumptions!$H$39)+INT(Assumptions!$E$35*Assumptions!$H$40)+INT(Assumptions!$E$36*Assumptions!$H$41))*'Revenue Funnel'!BK11</f>
        <v>72606</v>
      </c>
      <c r="BL12" s="883"/>
      <c r="BM12" s="982"/>
      <c r="BN12" s="218"/>
      <c r="BP12" s="91"/>
      <c r="BQ12" s="91"/>
      <c r="BR12" s="91"/>
      <c r="BS12" s="91"/>
      <c r="BT12" s="91"/>
      <c r="BU12" s="91"/>
      <c r="BV12" s="91"/>
      <c r="BW12" s="91"/>
    </row>
    <row r="13" spans="1:66" s="1362" customFormat="1" ht="15.75">
      <c r="A13" s="1366"/>
      <c r="B13" s="1500" t="s">
        <v>487</v>
      </c>
      <c r="C13" s="1296" t="s">
        <v>493</v>
      </c>
      <c r="D13" s="1295"/>
      <c r="E13" s="1294"/>
      <c r="F13" s="1293"/>
      <c r="G13" s="1294"/>
      <c r="H13" s="1294"/>
      <c r="I13" s="1293"/>
      <c r="J13" s="1294"/>
      <c r="K13" s="1294"/>
      <c r="L13" s="1293"/>
      <c r="M13" s="1292">
        <v>30</v>
      </c>
      <c r="N13" s="1292">
        <v>20</v>
      </c>
      <c r="O13" s="1291">
        <v>10</v>
      </c>
      <c r="P13" s="1290">
        <v>10</v>
      </c>
      <c r="Q13" s="1292">
        <v>10</v>
      </c>
      <c r="R13" s="1289">
        <v>10</v>
      </c>
      <c r="S13" s="1288">
        <f>INT(R14*$BM$13)</f>
        <v>5</v>
      </c>
      <c r="T13" s="1288">
        <f aca="true" t="shared" si="3" ref="T13:AA13">INT(S14*$BM$13)</f>
        <v>5</v>
      </c>
      <c r="U13" s="1287">
        <f t="shared" si="3"/>
        <v>6</v>
      </c>
      <c r="V13" s="1288">
        <f t="shared" si="3"/>
        <v>6</v>
      </c>
      <c r="W13" s="1288">
        <f t="shared" si="3"/>
        <v>6</v>
      </c>
      <c r="X13" s="1287">
        <f t="shared" si="3"/>
        <v>7</v>
      </c>
      <c r="Y13" s="1288">
        <f t="shared" si="3"/>
        <v>7</v>
      </c>
      <c r="Z13" s="1288">
        <f t="shared" si="3"/>
        <v>7</v>
      </c>
      <c r="AA13" s="1286">
        <f t="shared" si="3"/>
        <v>8</v>
      </c>
      <c r="AB13" s="1285">
        <f>INT(AA14*$BM$13)</f>
        <v>8</v>
      </c>
      <c r="AC13" s="1288">
        <f aca="true" t="shared" si="4" ref="AC13:BK13">INT(AB14*$BM$13)</f>
        <v>9</v>
      </c>
      <c r="AD13" s="1287">
        <f t="shared" si="4"/>
        <v>9</v>
      </c>
      <c r="AE13" s="1288">
        <f t="shared" si="4"/>
        <v>10</v>
      </c>
      <c r="AF13" s="1288">
        <f t="shared" si="4"/>
        <v>10</v>
      </c>
      <c r="AG13" s="1287">
        <f t="shared" si="4"/>
        <v>11</v>
      </c>
      <c r="AH13" s="1288">
        <f t="shared" si="4"/>
        <v>12</v>
      </c>
      <c r="AI13" s="1288">
        <f t="shared" si="4"/>
        <v>12</v>
      </c>
      <c r="AJ13" s="1287">
        <f t="shared" si="4"/>
        <v>13</v>
      </c>
      <c r="AK13" s="1288">
        <f t="shared" si="4"/>
        <v>14</v>
      </c>
      <c r="AL13" s="1288">
        <f t="shared" si="4"/>
        <v>15</v>
      </c>
      <c r="AM13" s="1286">
        <f t="shared" si="4"/>
        <v>16</v>
      </c>
      <c r="AN13" s="1285">
        <f t="shared" si="4"/>
        <v>17</v>
      </c>
      <c r="AO13" s="1288">
        <f t="shared" si="4"/>
        <v>18</v>
      </c>
      <c r="AP13" s="1287">
        <f t="shared" si="4"/>
        <v>19</v>
      </c>
      <c r="AQ13" s="1288">
        <f t="shared" si="4"/>
        <v>20</v>
      </c>
      <c r="AR13" s="1288">
        <f t="shared" si="4"/>
        <v>21</v>
      </c>
      <c r="AS13" s="1287">
        <f t="shared" si="4"/>
        <v>22</v>
      </c>
      <c r="AT13" s="1288">
        <f t="shared" si="4"/>
        <v>24</v>
      </c>
      <c r="AU13" s="1288">
        <f t="shared" si="4"/>
        <v>25</v>
      </c>
      <c r="AV13" s="1287">
        <f t="shared" si="4"/>
        <v>27</v>
      </c>
      <c r="AW13" s="1288">
        <f t="shared" si="4"/>
        <v>28</v>
      </c>
      <c r="AX13" s="1288">
        <f t="shared" si="4"/>
        <v>30</v>
      </c>
      <c r="AY13" s="1286">
        <f t="shared" si="4"/>
        <v>32</v>
      </c>
      <c r="AZ13" s="1285">
        <f t="shared" si="4"/>
        <v>34</v>
      </c>
      <c r="BA13" s="1288">
        <f t="shared" si="4"/>
        <v>36</v>
      </c>
      <c r="BB13" s="1287">
        <f t="shared" si="4"/>
        <v>38</v>
      </c>
      <c r="BC13" s="1288">
        <f t="shared" si="4"/>
        <v>40</v>
      </c>
      <c r="BD13" s="1288">
        <f t="shared" si="4"/>
        <v>43</v>
      </c>
      <c r="BE13" s="1287">
        <f t="shared" si="4"/>
        <v>45</v>
      </c>
      <c r="BF13" s="1288">
        <f t="shared" si="4"/>
        <v>48</v>
      </c>
      <c r="BG13" s="1288">
        <f t="shared" si="4"/>
        <v>51</v>
      </c>
      <c r="BH13" s="1287">
        <f t="shared" si="4"/>
        <v>54</v>
      </c>
      <c r="BI13" s="1288">
        <f>INT(BH14*$BM$13)</f>
        <v>57</v>
      </c>
      <c r="BJ13" s="1288">
        <f t="shared" si="4"/>
        <v>60</v>
      </c>
      <c r="BK13" s="1286">
        <f t="shared" si="4"/>
        <v>64</v>
      </c>
      <c r="BL13" s="1364"/>
      <c r="BM13" s="1385">
        <v>0.06</v>
      </c>
      <c r="BN13" s="1363"/>
    </row>
    <row r="14" spans="2:75" s="1366" customFormat="1" ht="15.75">
      <c r="B14" s="1501"/>
      <c r="C14" s="973" t="s">
        <v>491</v>
      </c>
      <c r="D14" s="1243"/>
      <c r="E14" s="1244"/>
      <c r="F14" s="1245"/>
      <c r="G14" s="1244"/>
      <c r="H14" s="1244"/>
      <c r="I14" s="1245"/>
      <c r="J14" s="1244"/>
      <c r="K14" s="1244"/>
      <c r="L14" s="1245"/>
      <c r="M14" s="1262">
        <f>M13</f>
        <v>30</v>
      </c>
      <c r="N14" s="1262">
        <f>N13+M14</f>
        <v>50</v>
      </c>
      <c r="O14" s="1263">
        <f aca="true" t="shared" si="5" ref="O14:V14">O13+N14</f>
        <v>60</v>
      </c>
      <c r="P14" s="1264">
        <f t="shared" si="5"/>
        <v>70</v>
      </c>
      <c r="Q14" s="1262">
        <f t="shared" si="5"/>
        <v>80</v>
      </c>
      <c r="R14" s="1265">
        <f>R13+Q14</f>
        <v>90</v>
      </c>
      <c r="S14" s="1262">
        <f t="shared" si="5"/>
        <v>95</v>
      </c>
      <c r="T14" s="1262">
        <f t="shared" si="5"/>
        <v>100</v>
      </c>
      <c r="U14" s="1265">
        <f t="shared" si="5"/>
        <v>106</v>
      </c>
      <c r="V14" s="1262">
        <f t="shared" si="5"/>
        <v>112</v>
      </c>
      <c r="W14" s="1262">
        <f aca="true" t="shared" si="6" ref="W14">W13+V14</f>
        <v>118</v>
      </c>
      <c r="X14" s="1265">
        <f aca="true" t="shared" si="7" ref="X14">X13+W14</f>
        <v>125</v>
      </c>
      <c r="Y14" s="1262">
        <f aca="true" t="shared" si="8" ref="Y14">Y13+X14</f>
        <v>132</v>
      </c>
      <c r="Z14" s="1262">
        <f aca="true" t="shared" si="9" ref="Z14">Z13+Y14</f>
        <v>139</v>
      </c>
      <c r="AA14" s="1263">
        <f aca="true" t="shared" si="10" ref="AA14">AA13+Z14</f>
        <v>147</v>
      </c>
      <c r="AB14" s="1264">
        <f aca="true" t="shared" si="11" ref="AB14">AB13+AA14</f>
        <v>155</v>
      </c>
      <c r="AC14" s="1262">
        <f aca="true" t="shared" si="12" ref="AC14">AC13+AB14</f>
        <v>164</v>
      </c>
      <c r="AD14" s="1265">
        <f aca="true" t="shared" si="13" ref="AD14">AD13+AC14</f>
        <v>173</v>
      </c>
      <c r="AE14" s="1262">
        <f aca="true" t="shared" si="14" ref="AE14">AE13+AD14</f>
        <v>183</v>
      </c>
      <c r="AF14" s="1262">
        <f aca="true" t="shared" si="15" ref="AF14">AF13+AE14</f>
        <v>193</v>
      </c>
      <c r="AG14" s="1265">
        <f aca="true" t="shared" si="16" ref="AG14">AG13+AF14</f>
        <v>204</v>
      </c>
      <c r="AH14" s="1262">
        <f aca="true" t="shared" si="17" ref="AH14">AH13+AG14</f>
        <v>216</v>
      </c>
      <c r="AI14" s="1262">
        <f aca="true" t="shared" si="18" ref="AI14">AI13+AH14</f>
        <v>228</v>
      </c>
      <c r="AJ14" s="1265">
        <f aca="true" t="shared" si="19" ref="AJ14">AJ13+AI14</f>
        <v>241</v>
      </c>
      <c r="AK14" s="1262">
        <f aca="true" t="shared" si="20" ref="AK14">AK13+AJ14</f>
        <v>255</v>
      </c>
      <c r="AL14" s="1262">
        <f aca="true" t="shared" si="21" ref="AL14">AL13+AK14</f>
        <v>270</v>
      </c>
      <c r="AM14" s="1263">
        <f aca="true" t="shared" si="22" ref="AM14">AM13+AL14</f>
        <v>286</v>
      </c>
      <c r="AN14" s="1264">
        <f aca="true" t="shared" si="23" ref="AN14">AN13+AM14</f>
        <v>303</v>
      </c>
      <c r="AO14" s="1262">
        <f aca="true" t="shared" si="24" ref="AO14">AO13+AN14</f>
        <v>321</v>
      </c>
      <c r="AP14" s="1265">
        <f aca="true" t="shared" si="25" ref="AP14">AP13+AO14</f>
        <v>340</v>
      </c>
      <c r="AQ14" s="1262">
        <f aca="true" t="shared" si="26" ref="AQ14">AQ13+AP14</f>
        <v>360</v>
      </c>
      <c r="AR14" s="1262">
        <f aca="true" t="shared" si="27" ref="AR14">AR13+AQ14</f>
        <v>381</v>
      </c>
      <c r="AS14" s="1265">
        <f aca="true" t="shared" si="28" ref="AS14">AS13+AR14</f>
        <v>403</v>
      </c>
      <c r="AT14" s="1262">
        <f aca="true" t="shared" si="29" ref="AT14">AT13+AS14</f>
        <v>427</v>
      </c>
      <c r="AU14" s="1262">
        <f aca="true" t="shared" si="30" ref="AU14">AU13+AT14</f>
        <v>452</v>
      </c>
      <c r="AV14" s="1265">
        <f aca="true" t="shared" si="31" ref="AV14">AV13+AU14</f>
        <v>479</v>
      </c>
      <c r="AW14" s="1262">
        <f aca="true" t="shared" si="32" ref="AW14">AW13+AV14</f>
        <v>507</v>
      </c>
      <c r="AX14" s="1262">
        <f aca="true" t="shared" si="33" ref="AX14">AX13+AW14</f>
        <v>537</v>
      </c>
      <c r="AY14" s="1263">
        <f aca="true" t="shared" si="34" ref="AY14">AY13+AX14</f>
        <v>569</v>
      </c>
      <c r="AZ14" s="1264">
        <f aca="true" t="shared" si="35" ref="AZ14">AZ13+AY14</f>
        <v>603</v>
      </c>
      <c r="BA14" s="1262">
        <f aca="true" t="shared" si="36" ref="BA14">BA13+AZ14</f>
        <v>639</v>
      </c>
      <c r="BB14" s="1265">
        <f aca="true" t="shared" si="37" ref="BB14">BB13+BA14</f>
        <v>677</v>
      </c>
      <c r="BC14" s="1262">
        <f aca="true" t="shared" si="38" ref="BC14">BC13+BB14</f>
        <v>717</v>
      </c>
      <c r="BD14" s="1262">
        <f aca="true" t="shared" si="39" ref="BD14">BD13+BC14</f>
        <v>760</v>
      </c>
      <c r="BE14" s="1265">
        <f aca="true" t="shared" si="40" ref="BE14">BE13+BD14</f>
        <v>805</v>
      </c>
      <c r="BF14" s="1262">
        <f aca="true" t="shared" si="41" ref="BF14">BF13+BE14</f>
        <v>853</v>
      </c>
      <c r="BG14" s="1262">
        <f aca="true" t="shared" si="42" ref="BG14">BG13+BF14</f>
        <v>904</v>
      </c>
      <c r="BH14" s="1265">
        <f aca="true" t="shared" si="43" ref="BH14">BH13+BG14</f>
        <v>958</v>
      </c>
      <c r="BI14" s="1262">
        <f aca="true" t="shared" si="44" ref="BI14">BI13+BH14</f>
        <v>1015</v>
      </c>
      <c r="BJ14" s="1262">
        <f aca="true" t="shared" si="45" ref="BJ14">BJ13+BI14</f>
        <v>1075</v>
      </c>
      <c r="BK14" s="1263">
        <f aca="true" t="shared" si="46" ref="BK14">BK13+BJ14</f>
        <v>1139</v>
      </c>
      <c r="BL14" s="883"/>
      <c r="BM14" s="1365"/>
      <c r="BN14" s="218"/>
      <c r="BP14" s="1368"/>
      <c r="BQ14" s="1368"/>
      <c r="BR14" s="1368"/>
      <c r="BS14" s="1368"/>
      <c r="BT14" s="1368"/>
      <c r="BU14" s="1368"/>
      <c r="BV14" s="1368"/>
      <c r="BW14" s="1368"/>
    </row>
    <row r="15" spans="2:75" s="1366" customFormat="1" ht="15.75">
      <c r="B15" s="1501"/>
      <c r="C15" s="973" t="s">
        <v>494</v>
      </c>
      <c r="D15" s="1243"/>
      <c r="E15" s="1244"/>
      <c r="F15" s="1245"/>
      <c r="G15" s="1244"/>
      <c r="H15" s="1244"/>
      <c r="I15" s="1245"/>
      <c r="J15" s="1244"/>
      <c r="K15" s="1244"/>
      <c r="L15" s="1245"/>
      <c r="M15" s="1246">
        <v>20</v>
      </c>
      <c r="N15" s="1246">
        <v>10</v>
      </c>
      <c r="O15" s="1247">
        <v>5</v>
      </c>
      <c r="P15" s="1248">
        <v>5</v>
      </c>
      <c r="Q15" s="1246">
        <v>5</v>
      </c>
      <c r="R15" s="1361">
        <v>5</v>
      </c>
      <c r="S15" s="1262">
        <v>2</v>
      </c>
      <c r="T15" s="1262">
        <v>2</v>
      </c>
      <c r="U15" s="1265">
        <v>2</v>
      </c>
      <c r="V15" s="1262">
        <v>2</v>
      </c>
      <c r="W15" s="1262">
        <v>2</v>
      </c>
      <c r="X15" s="1265">
        <v>2</v>
      </c>
      <c r="Y15" s="1262">
        <v>2</v>
      </c>
      <c r="Z15" s="1262">
        <v>2</v>
      </c>
      <c r="AA15" s="1263">
        <v>2</v>
      </c>
      <c r="AB15" s="1264">
        <f aca="true" t="shared" si="47" ref="AB15:BK15">INT(AA16*$BM$15)</f>
        <v>2</v>
      </c>
      <c r="AC15" s="1262">
        <f t="shared" si="47"/>
        <v>2</v>
      </c>
      <c r="AD15" s="1265">
        <f t="shared" si="47"/>
        <v>2</v>
      </c>
      <c r="AE15" s="1262">
        <f t="shared" si="47"/>
        <v>2</v>
      </c>
      <c r="AF15" s="1262">
        <f t="shared" si="47"/>
        <v>2</v>
      </c>
      <c r="AG15" s="1265">
        <f t="shared" si="47"/>
        <v>2</v>
      </c>
      <c r="AH15" s="1262">
        <f t="shared" si="47"/>
        <v>2</v>
      </c>
      <c r="AI15" s="1262">
        <f t="shared" si="47"/>
        <v>2</v>
      </c>
      <c r="AJ15" s="1265">
        <f t="shared" si="47"/>
        <v>2</v>
      </c>
      <c r="AK15" s="1262">
        <f t="shared" si="47"/>
        <v>2</v>
      </c>
      <c r="AL15" s="1262">
        <f t="shared" si="47"/>
        <v>2</v>
      </c>
      <c r="AM15" s="1263">
        <f t="shared" si="47"/>
        <v>2</v>
      </c>
      <c r="AN15" s="1264">
        <f t="shared" si="47"/>
        <v>2</v>
      </c>
      <c r="AO15" s="1262">
        <f t="shared" si="47"/>
        <v>2</v>
      </c>
      <c r="AP15" s="1265">
        <f t="shared" si="47"/>
        <v>2</v>
      </c>
      <c r="AQ15" s="1262">
        <f t="shared" si="47"/>
        <v>2</v>
      </c>
      <c r="AR15" s="1262">
        <f t="shared" si="47"/>
        <v>3</v>
      </c>
      <c r="AS15" s="1265">
        <f t="shared" si="47"/>
        <v>3</v>
      </c>
      <c r="AT15" s="1262">
        <f t="shared" si="47"/>
        <v>3</v>
      </c>
      <c r="AU15" s="1262">
        <f t="shared" si="47"/>
        <v>3</v>
      </c>
      <c r="AV15" s="1265">
        <f t="shared" si="47"/>
        <v>3</v>
      </c>
      <c r="AW15" s="1262">
        <f t="shared" si="47"/>
        <v>3</v>
      </c>
      <c r="AX15" s="1262">
        <f t="shared" si="47"/>
        <v>3</v>
      </c>
      <c r="AY15" s="1263">
        <f t="shared" si="47"/>
        <v>3</v>
      </c>
      <c r="AZ15" s="1264">
        <f t="shared" si="47"/>
        <v>3</v>
      </c>
      <c r="BA15" s="1262">
        <f t="shared" si="47"/>
        <v>3</v>
      </c>
      <c r="BB15" s="1265">
        <f t="shared" si="47"/>
        <v>3</v>
      </c>
      <c r="BC15" s="1262">
        <f t="shared" si="47"/>
        <v>3</v>
      </c>
      <c r="BD15" s="1262">
        <f t="shared" si="47"/>
        <v>4</v>
      </c>
      <c r="BE15" s="1265">
        <f t="shared" si="47"/>
        <v>4</v>
      </c>
      <c r="BF15" s="1262">
        <f t="shared" si="47"/>
        <v>4</v>
      </c>
      <c r="BG15" s="1262">
        <f t="shared" si="47"/>
        <v>4</v>
      </c>
      <c r="BH15" s="1265">
        <f t="shared" si="47"/>
        <v>4</v>
      </c>
      <c r="BI15" s="1262">
        <f t="shared" si="47"/>
        <v>4</v>
      </c>
      <c r="BJ15" s="1262">
        <f t="shared" si="47"/>
        <v>4</v>
      </c>
      <c r="BK15" s="1263">
        <f t="shared" si="47"/>
        <v>4</v>
      </c>
      <c r="BL15" s="883"/>
      <c r="BM15" s="1382">
        <v>0.03</v>
      </c>
      <c r="BN15" s="218"/>
      <c r="BP15" s="1368"/>
      <c r="BQ15" s="1368"/>
      <c r="BR15" s="1368"/>
      <c r="BS15" s="1368"/>
      <c r="BT15" s="1368"/>
      <c r="BU15" s="1368"/>
      <c r="BV15" s="1368"/>
      <c r="BW15" s="1368"/>
    </row>
    <row r="16" spans="2:75" s="1366" customFormat="1" ht="15.75">
      <c r="B16" s="1501"/>
      <c r="C16" s="973" t="s">
        <v>492</v>
      </c>
      <c r="D16" s="976"/>
      <c r="E16" s="974"/>
      <c r="F16" s="975"/>
      <c r="G16" s="976"/>
      <c r="H16" s="974"/>
      <c r="I16" s="975"/>
      <c r="J16" s="977"/>
      <c r="K16" s="974"/>
      <c r="L16" s="978"/>
      <c r="M16" s="1360">
        <f>+M15</f>
        <v>20</v>
      </c>
      <c r="N16" s="1360">
        <f>+N15+M16</f>
        <v>30</v>
      </c>
      <c r="O16" s="1359">
        <f aca="true" t="shared" si="48" ref="O16:BK16">+O15+N16</f>
        <v>35</v>
      </c>
      <c r="P16" s="1358">
        <f t="shared" si="48"/>
        <v>40</v>
      </c>
      <c r="Q16" s="1360">
        <f t="shared" si="48"/>
        <v>45</v>
      </c>
      <c r="R16" s="1357">
        <f t="shared" si="48"/>
        <v>50</v>
      </c>
      <c r="S16" s="1360">
        <f t="shared" si="48"/>
        <v>52</v>
      </c>
      <c r="T16" s="1360">
        <f t="shared" si="48"/>
        <v>54</v>
      </c>
      <c r="U16" s="1357">
        <f t="shared" si="48"/>
        <v>56</v>
      </c>
      <c r="V16" s="1360">
        <f t="shared" si="48"/>
        <v>58</v>
      </c>
      <c r="W16" s="1360">
        <f t="shared" si="48"/>
        <v>60</v>
      </c>
      <c r="X16" s="1357">
        <f t="shared" si="48"/>
        <v>62</v>
      </c>
      <c r="Y16" s="1360">
        <f t="shared" si="48"/>
        <v>64</v>
      </c>
      <c r="Z16" s="1360">
        <f t="shared" si="48"/>
        <v>66</v>
      </c>
      <c r="AA16" s="1359">
        <f t="shared" si="48"/>
        <v>68</v>
      </c>
      <c r="AB16" s="1358">
        <f t="shared" si="48"/>
        <v>70</v>
      </c>
      <c r="AC16" s="1360">
        <f t="shared" si="48"/>
        <v>72</v>
      </c>
      <c r="AD16" s="1357">
        <f t="shared" si="48"/>
        <v>74</v>
      </c>
      <c r="AE16" s="1360">
        <f t="shared" si="48"/>
        <v>76</v>
      </c>
      <c r="AF16" s="1360">
        <f t="shared" si="48"/>
        <v>78</v>
      </c>
      <c r="AG16" s="1357">
        <f t="shared" si="48"/>
        <v>80</v>
      </c>
      <c r="AH16" s="1360">
        <f t="shared" si="48"/>
        <v>82</v>
      </c>
      <c r="AI16" s="1360">
        <f t="shared" si="48"/>
        <v>84</v>
      </c>
      <c r="AJ16" s="1357">
        <f t="shared" si="48"/>
        <v>86</v>
      </c>
      <c r="AK16" s="1360">
        <f t="shared" si="48"/>
        <v>88</v>
      </c>
      <c r="AL16" s="1360">
        <f t="shared" si="48"/>
        <v>90</v>
      </c>
      <c r="AM16" s="1359">
        <f t="shared" si="48"/>
        <v>92</v>
      </c>
      <c r="AN16" s="1358">
        <f t="shared" si="48"/>
        <v>94</v>
      </c>
      <c r="AO16" s="1360">
        <f t="shared" si="48"/>
        <v>96</v>
      </c>
      <c r="AP16" s="1357">
        <f t="shared" si="48"/>
        <v>98</v>
      </c>
      <c r="AQ16" s="1360">
        <f t="shared" si="48"/>
        <v>100</v>
      </c>
      <c r="AR16" s="1360">
        <f t="shared" si="48"/>
        <v>103</v>
      </c>
      <c r="AS16" s="1357">
        <f t="shared" si="48"/>
        <v>106</v>
      </c>
      <c r="AT16" s="1360">
        <f t="shared" si="48"/>
        <v>109</v>
      </c>
      <c r="AU16" s="1360">
        <f t="shared" si="48"/>
        <v>112</v>
      </c>
      <c r="AV16" s="1357">
        <f t="shared" si="48"/>
        <v>115</v>
      </c>
      <c r="AW16" s="1360">
        <f t="shared" si="48"/>
        <v>118</v>
      </c>
      <c r="AX16" s="1360">
        <f t="shared" si="48"/>
        <v>121</v>
      </c>
      <c r="AY16" s="1359">
        <f t="shared" si="48"/>
        <v>124</v>
      </c>
      <c r="AZ16" s="1358">
        <f t="shared" si="48"/>
        <v>127</v>
      </c>
      <c r="BA16" s="1360">
        <f t="shared" si="48"/>
        <v>130</v>
      </c>
      <c r="BB16" s="1357">
        <f t="shared" si="48"/>
        <v>133</v>
      </c>
      <c r="BC16" s="1356">
        <f t="shared" si="48"/>
        <v>136</v>
      </c>
      <c r="BD16" s="1360">
        <f t="shared" si="48"/>
        <v>140</v>
      </c>
      <c r="BE16" s="1357">
        <f t="shared" si="48"/>
        <v>144</v>
      </c>
      <c r="BF16" s="1356">
        <f t="shared" si="48"/>
        <v>148</v>
      </c>
      <c r="BG16" s="1360">
        <f t="shared" si="48"/>
        <v>152</v>
      </c>
      <c r="BH16" s="1357">
        <f t="shared" si="48"/>
        <v>156</v>
      </c>
      <c r="BI16" s="1360">
        <f t="shared" si="48"/>
        <v>160</v>
      </c>
      <c r="BJ16" s="1360">
        <f t="shared" si="48"/>
        <v>164</v>
      </c>
      <c r="BK16" s="1359">
        <f t="shared" si="48"/>
        <v>168</v>
      </c>
      <c r="BL16" s="883"/>
      <c r="BM16" s="1382"/>
      <c r="BN16" s="218"/>
      <c r="BP16" s="1368"/>
      <c r="BQ16" s="1368"/>
      <c r="BR16" s="1368"/>
      <c r="BS16" s="1368"/>
      <c r="BT16" s="1368"/>
      <c r="BU16" s="1368"/>
      <c r="BV16" s="1368"/>
      <c r="BW16" s="1368"/>
    </row>
    <row r="17" spans="2:75" s="1366" customFormat="1" ht="15.75">
      <c r="B17" s="1501"/>
      <c r="C17" s="1284" t="s">
        <v>495</v>
      </c>
      <c r="D17" s="1346"/>
      <c r="E17" s="1345"/>
      <c r="F17" s="1344"/>
      <c r="G17" s="1346"/>
      <c r="H17" s="1345"/>
      <c r="I17" s="1344"/>
      <c r="J17" s="1343"/>
      <c r="K17" s="1345"/>
      <c r="L17" s="1342"/>
      <c r="M17" s="1346">
        <v>0</v>
      </c>
      <c r="N17" s="1346">
        <f>N14*19+N16*49</f>
        <v>2420</v>
      </c>
      <c r="O17" s="1461">
        <f>O14*19+O16*49</f>
        <v>2855</v>
      </c>
      <c r="P17" s="1462">
        <f>P14*19+P16*49</f>
        <v>3290</v>
      </c>
      <c r="Q17" s="1345">
        <f>Q14*Assumptions!$D$43+Q16*Assumptions!$D$44</f>
        <v>6000</v>
      </c>
      <c r="R17" s="1344">
        <f>R14*Assumptions!$D$43+R16*Assumptions!$D$44</f>
        <v>6700</v>
      </c>
      <c r="S17" s="1345">
        <f>S14*Assumptions!$D$43+S16*Assumptions!$D$44</f>
        <v>7010</v>
      </c>
      <c r="T17" s="1345">
        <f>T14*Assumptions!$D$43+T16*Assumptions!$D$44</f>
        <v>7320</v>
      </c>
      <c r="U17" s="1344">
        <f>U14*Assumptions!$D$43+U16*Assumptions!$D$44</f>
        <v>7660</v>
      </c>
      <c r="V17" s="1345">
        <f>V14*Assumptions!$D$43+V16*Assumptions!$D$44</f>
        <v>8000</v>
      </c>
      <c r="W17" s="1345">
        <f>W14*Assumptions!$D$43+W16*Assumptions!$D$44</f>
        <v>8340</v>
      </c>
      <c r="X17" s="1344">
        <f>X14*Assumptions!$D$43+X16*Assumptions!$D$44</f>
        <v>8710</v>
      </c>
      <c r="Y17" s="1345">
        <f>Y14*Assumptions!$D$43+Y16*Assumptions!$D$44</f>
        <v>9080</v>
      </c>
      <c r="Z17" s="1345">
        <f>Z14*Assumptions!$D$43+Z16*Assumptions!$D$44</f>
        <v>9450</v>
      </c>
      <c r="AA17" s="1341">
        <f>AA14*Assumptions!$D$43+AA16*Assumptions!$D$44</f>
        <v>9850</v>
      </c>
      <c r="AB17" s="1340">
        <f>AB14*Assumptions!$D$43+AB16*Assumptions!$D$44</f>
        <v>10250</v>
      </c>
      <c r="AC17" s="1345">
        <f>AC14*Assumptions!$D$43+AC16*Assumptions!$D$44</f>
        <v>10680</v>
      </c>
      <c r="AD17" s="1344">
        <f>AD14*Assumptions!$D$43+AD16*Assumptions!$D$44</f>
        <v>11110</v>
      </c>
      <c r="AE17" s="1345">
        <f>AE14*Assumptions!$D$43+AE16*Assumptions!$D$44</f>
        <v>11570</v>
      </c>
      <c r="AF17" s="1345">
        <f>AF14*Assumptions!$D$43+AF16*Assumptions!$D$44</f>
        <v>12030</v>
      </c>
      <c r="AG17" s="1344">
        <f>AG14*Assumptions!$D$43+AG16*Assumptions!$D$44</f>
        <v>12520</v>
      </c>
      <c r="AH17" s="1345">
        <f>AH14*Assumptions!$D$43+AH16*Assumptions!$D$44</f>
        <v>13040</v>
      </c>
      <c r="AI17" s="1345">
        <f>AI14*Assumptions!$D$43+AI16*Assumptions!$D$44</f>
        <v>13560</v>
      </c>
      <c r="AJ17" s="1344">
        <f>AJ14*Assumptions!$D$43+AJ16*Assumptions!$D$44</f>
        <v>14110</v>
      </c>
      <c r="AK17" s="1345">
        <f>AK14*Assumptions!$D$43+AK16*Assumptions!$D$44</f>
        <v>14690</v>
      </c>
      <c r="AL17" s="1345">
        <f>AL14*Assumptions!$D$43+AL16*Assumptions!$D$44</f>
        <v>15300</v>
      </c>
      <c r="AM17" s="1341">
        <f>AM14*Assumptions!$D$43+AM16*Assumptions!$D$44</f>
        <v>15940</v>
      </c>
      <c r="AN17" s="1340">
        <f>AN14*Assumptions!$D$43+AN16*Assumptions!$D$44</f>
        <v>16610</v>
      </c>
      <c r="AO17" s="1345">
        <f>AO14*Assumptions!$D$43+AO16*Assumptions!$D$44</f>
        <v>17310</v>
      </c>
      <c r="AP17" s="1344">
        <f>AP14*Assumptions!$D$43+AP16*Assumptions!$D$44</f>
        <v>18040</v>
      </c>
      <c r="AQ17" s="1345">
        <f>AQ14*Assumptions!$D$43+AQ16*Assumptions!$D$44</f>
        <v>18800</v>
      </c>
      <c r="AR17" s="1345">
        <f>AR14*Assumptions!$D$43+AR16*Assumptions!$D$44</f>
        <v>19670</v>
      </c>
      <c r="AS17" s="1344">
        <f>AS14*Assumptions!$D$43+AS16*Assumptions!$D$44</f>
        <v>20570</v>
      </c>
      <c r="AT17" s="1345">
        <f>AT14*Assumptions!$D$43+AT16*Assumptions!$D$44</f>
        <v>21530</v>
      </c>
      <c r="AU17" s="1345">
        <f>AU14*Assumptions!$D$43+AU16*Assumptions!$D$44</f>
        <v>22520</v>
      </c>
      <c r="AV17" s="1344">
        <f>AV14*Assumptions!$D$43+AV16*Assumptions!$D$44</f>
        <v>23570</v>
      </c>
      <c r="AW17" s="1345">
        <f>AW14*Assumptions!$D$43+AW16*Assumptions!$D$44</f>
        <v>24650</v>
      </c>
      <c r="AX17" s="1345">
        <f>AX14*Assumptions!$D$43+AX16*Assumptions!$D$44</f>
        <v>25790</v>
      </c>
      <c r="AY17" s="1341">
        <f>AY14*Assumptions!$D$43+AY16*Assumptions!$D$44</f>
        <v>26990</v>
      </c>
      <c r="AZ17" s="1340">
        <f>AZ14*Assumptions!$D$43+AZ16*Assumptions!$D$44</f>
        <v>28250</v>
      </c>
      <c r="BA17" s="1345">
        <f>BA14*Assumptions!$D$43+BA16*Assumptions!$D$44</f>
        <v>29570</v>
      </c>
      <c r="BB17" s="1344">
        <f>BB14*Assumptions!$D$43+BB16*Assumptions!$D$44</f>
        <v>30950</v>
      </c>
      <c r="BC17" s="1343">
        <f>BC14*Assumptions!$D$43+BC16*Assumptions!$D$44</f>
        <v>32390</v>
      </c>
      <c r="BD17" s="1345">
        <f>BD14*Assumptions!$D$43+BD16*Assumptions!$D$44</f>
        <v>34000</v>
      </c>
      <c r="BE17" s="1344">
        <f>BE14*Assumptions!$D$43+BE16*Assumptions!$D$44</f>
        <v>35670</v>
      </c>
      <c r="BF17" s="1343">
        <f>BF14*Assumptions!$D$43+BF16*Assumptions!$D$44</f>
        <v>37430</v>
      </c>
      <c r="BG17" s="1345">
        <f>BG14*Assumptions!$D$43+BG16*Assumptions!$D$44</f>
        <v>39280</v>
      </c>
      <c r="BH17" s="1344">
        <f>BH14*Assumptions!$D$43+BH16*Assumptions!$D$44</f>
        <v>41220</v>
      </c>
      <c r="BI17" s="1345">
        <f>BI14*Assumptions!$D$43+BI16*Assumptions!$D$44</f>
        <v>43250</v>
      </c>
      <c r="BJ17" s="1345">
        <f>BJ14*Assumptions!$D$43+BJ16*Assumptions!$D$44</f>
        <v>45370</v>
      </c>
      <c r="BK17" s="1341">
        <f>BK14*Assumptions!$D$43+BK16*Assumptions!$D$44</f>
        <v>47610</v>
      </c>
      <c r="BL17" s="883"/>
      <c r="BM17" s="1382"/>
      <c r="BN17" s="218"/>
      <c r="BP17" s="1368"/>
      <c r="BQ17" s="1368"/>
      <c r="BR17" s="1368"/>
      <c r="BS17" s="1368"/>
      <c r="BT17" s="1368"/>
      <c r="BU17" s="1368"/>
      <c r="BV17" s="1368"/>
      <c r="BW17" s="1368"/>
    </row>
    <row r="18" spans="2:75" s="1366" customFormat="1" ht="15.75">
      <c r="B18" s="1501"/>
      <c r="C18" s="973" t="s">
        <v>499</v>
      </c>
      <c r="D18" s="1346"/>
      <c r="E18" s="1345"/>
      <c r="F18" s="1344"/>
      <c r="G18" s="1346"/>
      <c r="H18" s="1345"/>
      <c r="I18" s="1344"/>
      <c r="J18" s="1343"/>
      <c r="K18" s="1345"/>
      <c r="L18" s="1342"/>
      <c r="M18" s="1463">
        <v>0</v>
      </c>
      <c r="N18" s="1463">
        <v>0</v>
      </c>
      <c r="O18" s="1464">
        <v>0</v>
      </c>
      <c r="P18" s="1358">
        <f>INT((P14+P16)*Assumptions!$E$49)</f>
        <v>33</v>
      </c>
      <c r="Q18" s="1360">
        <f>INT((Q14+Q16)*Assumptions!$E$49)</f>
        <v>37</v>
      </c>
      <c r="R18" s="1357">
        <f>INT((R14+R16)*Assumptions!$E$49)</f>
        <v>42</v>
      </c>
      <c r="S18" s="1360">
        <f>INT((S14+S16)*Assumptions!$E$49)</f>
        <v>44</v>
      </c>
      <c r="T18" s="1360">
        <f>INT((T14+T16)*Assumptions!$E$49)</f>
        <v>46</v>
      </c>
      <c r="U18" s="1357">
        <f>INT((U14+U16)*Assumptions!$E$49)</f>
        <v>48</v>
      </c>
      <c r="V18" s="1360">
        <f>INT((V14+V16)*Assumptions!$E$49)</f>
        <v>51</v>
      </c>
      <c r="W18" s="1360">
        <f>INT((W14+W16)*Assumptions!$E$49)</f>
        <v>53</v>
      </c>
      <c r="X18" s="1357">
        <f>INT((X14+X16)*Assumptions!$E$49)</f>
        <v>56</v>
      </c>
      <c r="Y18" s="1360">
        <f>INT((Y14+Y16)*Assumptions!$E$49)</f>
        <v>58</v>
      </c>
      <c r="Z18" s="1360">
        <f>INT((Z14+Z16)*Assumptions!$E$49)</f>
        <v>61</v>
      </c>
      <c r="AA18" s="1359">
        <f>INT((AA14+AA16)*Assumptions!$E$49)</f>
        <v>64</v>
      </c>
      <c r="AB18" s="1358">
        <f>INT((AB14+AB16)*Assumptions!$E$49)</f>
        <v>67</v>
      </c>
      <c r="AC18" s="1360">
        <f>INT((AC14+AC16)*Assumptions!$E$49)</f>
        <v>70</v>
      </c>
      <c r="AD18" s="1357">
        <f>INT((AD14+AD16)*Assumptions!$E$49)</f>
        <v>74</v>
      </c>
      <c r="AE18" s="1360">
        <f>INT((AE14+AE16)*Assumptions!$E$49)</f>
        <v>77</v>
      </c>
      <c r="AF18" s="1360">
        <f>INT((AF14+AF16)*Assumptions!$E$49)</f>
        <v>81</v>
      </c>
      <c r="AG18" s="1357">
        <f>INT((AG14+AG16)*Assumptions!$E$49)</f>
        <v>85</v>
      </c>
      <c r="AH18" s="1360">
        <f>INT((AH14+AH16)*Assumptions!$E$49)</f>
        <v>89</v>
      </c>
      <c r="AI18" s="1360">
        <f>INT((AI14+AI16)*Assumptions!$E$49)</f>
        <v>93</v>
      </c>
      <c r="AJ18" s="1357">
        <f>INT((AJ14+AJ16)*Assumptions!$E$49)</f>
        <v>98</v>
      </c>
      <c r="AK18" s="1360">
        <f>INT((AK14+AK16)*Assumptions!$E$49)</f>
        <v>102</v>
      </c>
      <c r="AL18" s="1360">
        <f>INT((AL14+AL16)*Assumptions!$E$49)</f>
        <v>108</v>
      </c>
      <c r="AM18" s="1359">
        <f>INT((AM14+AM16)*Assumptions!$E$49)</f>
        <v>113</v>
      </c>
      <c r="AN18" s="1358">
        <f>INT((AN14+AN16)*Assumptions!$E$49)</f>
        <v>119</v>
      </c>
      <c r="AO18" s="1360">
        <f>INT((AO14+AO16)*Assumptions!$E$49)</f>
        <v>125</v>
      </c>
      <c r="AP18" s="1357">
        <f>INT((AP14+AP16)*Assumptions!$E$49)</f>
        <v>131</v>
      </c>
      <c r="AQ18" s="1360">
        <f>INT((AQ14+AQ16)*Assumptions!$E$49)</f>
        <v>138</v>
      </c>
      <c r="AR18" s="1360">
        <f>INT((AR14+AR16)*Assumptions!$E$49)</f>
        <v>145</v>
      </c>
      <c r="AS18" s="1357">
        <f>INT((AS14+AS16)*Assumptions!$E$49)</f>
        <v>152</v>
      </c>
      <c r="AT18" s="1360">
        <f>INT((AT14+AT16)*Assumptions!$E$49)</f>
        <v>160</v>
      </c>
      <c r="AU18" s="1360">
        <f>INT((AU14+AU16)*Assumptions!$E$49)</f>
        <v>169</v>
      </c>
      <c r="AV18" s="1357">
        <f>INT((AV14+AV16)*Assumptions!$E$49)</f>
        <v>178</v>
      </c>
      <c r="AW18" s="1360">
        <f>INT((AW14+AW16)*Assumptions!$E$49)</f>
        <v>187</v>
      </c>
      <c r="AX18" s="1360">
        <f>INT((AX14+AX16)*Assumptions!$E$49)</f>
        <v>197</v>
      </c>
      <c r="AY18" s="1359">
        <f>INT((AY14+AY16)*Assumptions!$E$49)</f>
        <v>207</v>
      </c>
      <c r="AZ18" s="1358">
        <f>INT((AZ14+AZ16)*Assumptions!$E$49)</f>
        <v>219</v>
      </c>
      <c r="BA18" s="1360">
        <f>INT((BA14+BA16)*Assumptions!$E$49)</f>
        <v>230</v>
      </c>
      <c r="BB18" s="1357">
        <f>INT((BB14+BB16)*Assumptions!$E$49)</f>
        <v>243</v>
      </c>
      <c r="BC18" s="1356">
        <f>INT((BC14+BC16)*Assumptions!$E$49)</f>
        <v>255</v>
      </c>
      <c r="BD18" s="1360">
        <f>INT((BD14+BD16)*Assumptions!$E$49)</f>
        <v>270</v>
      </c>
      <c r="BE18" s="1357">
        <f>INT((BE14+BE16)*Assumptions!$E$49)</f>
        <v>284</v>
      </c>
      <c r="BF18" s="1356">
        <f>INT((BF14+BF16)*Assumptions!$E$49)</f>
        <v>300</v>
      </c>
      <c r="BG18" s="1360">
        <f>INT((BG14+BG16)*Assumptions!$E$49)</f>
        <v>316</v>
      </c>
      <c r="BH18" s="1357">
        <f>INT((BH14+BH16)*Assumptions!$E$49)</f>
        <v>334</v>
      </c>
      <c r="BI18" s="1360">
        <f>INT((BI14+BI16)*Assumptions!$E$49)</f>
        <v>352</v>
      </c>
      <c r="BJ18" s="1360">
        <f>INT((BJ14+BJ16)*Assumptions!$E$49)</f>
        <v>371</v>
      </c>
      <c r="BK18" s="1359">
        <f>INT((BK14+BK16)*Assumptions!$E$49)</f>
        <v>392</v>
      </c>
      <c r="BL18" s="883"/>
      <c r="BM18" s="1382"/>
      <c r="BN18" s="218"/>
      <c r="BP18" s="1368"/>
      <c r="BQ18" s="1368"/>
      <c r="BR18" s="1368"/>
      <c r="BS18" s="1368"/>
      <c r="BT18" s="1368"/>
      <c r="BU18" s="1368"/>
      <c r="BV18" s="1368"/>
      <c r="BW18" s="1368"/>
    </row>
    <row r="19" spans="2:75" s="1366" customFormat="1" ht="15.75">
      <c r="B19" s="1501"/>
      <c r="C19" s="973" t="s">
        <v>500</v>
      </c>
      <c r="D19" s="1346"/>
      <c r="E19" s="1345"/>
      <c r="F19" s="1344"/>
      <c r="G19" s="1346"/>
      <c r="H19" s="1345"/>
      <c r="I19" s="1344"/>
      <c r="J19" s="1343"/>
      <c r="K19" s="1345"/>
      <c r="L19" s="1342"/>
      <c r="M19" s="1463">
        <v>0</v>
      </c>
      <c r="N19" s="1463">
        <v>0</v>
      </c>
      <c r="O19" s="1464">
        <v>0</v>
      </c>
      <c r="P19" s="1358">
        <f>INT((P14+P16)*Assumptions!$E$50)</f>
        <v>22</v>
      </c>
      <c r="Q19" s="1360">
        <f>INT((Q14+Q16)*Assumptions!$E$50)</f>
        <v>25</v>
      </c>
      <c r="R19" s="1357">
        <f>INT((R14+R16)*Assumptions!$E$50)</f>
        <v>28</v>
      </c>
      <c r="S19" s="1360">
        <f>INT((S14+S16)*Assumptions!$E$50)</f>
        <v>29</v>
      </c>
      <c r="T19" s="1360">
        <f>INT((T14+T16)*Assumptions!$E$50)</f>
        <v>30</v>
      </c>
      <c r="U19" s="1357">
        <f>INT((U14+U16)*Assumptions!$E$50)</f>
        <v>32</v>
      </c>
      <c r="V19" s="1360">
        <f>INT((V14+V16)*Assumptions!$E$50)</f>
        <v>34</v>
      </c>
      <c r="W19" s="1360">
        <f>INT((W14+W16)*Assumptions!$E$50)</f>
        <v>35</v>
      </c>
      <c r="X19" s="1357">
        <f>INT((X14+X16)*Assumptions!$E$50)</f>
        <v>37</v>
      </c>
      <c r="Y19" s="1360">
        <f>INT((Y14+Y16)*Assumptions!$E$50)</f>
        <v>39</v>
      </c>
      <c r="Z19" s="1360">
        <f>INT((Z14+Z16)*Assumptions!$E$50)</f>
        <v>41</v>
      </c>
      <c r="AA19" s="1359">
        <f>INT((AA14+AA16)*Assumptions!$E$50)</f>
        <v>43</v>
      </c>
      <c r="AB19" s="1358">
        <f>INT((AB14+AB16)*Assumptions!$E$50)</f>
        <v>45</v>
      </c>
      <c r="AC19" s="1360">
        <f>INT((AC14+AC16)*Assumptions!$E$50)</f>
        <v>47</v>
      </c>
      <c r="AD19" s="1357">
        <f>INT((AD14+AD16)*Assumptions!$E$50)</f>
        <v>49</v>
      </c>
      <c r="AE19" s="1360">
        <f>INT((AE14+AE16)*Assumptions!$E$50)</f>
        <v>51</v>
      </c>
      <c r="AF19" s="1360">
        <f>INT((AF14+AF16)*Assumptions!$E$50)</f>
        <v>54</v>
      </c>
      <c r="AG19" s="1357">
        <f>INT((AG14+AG16)*Assumptions!$E$50)</f>
        <v>56</v>
      </c>
      <c r="AH19" s="1360">
        <f>INT((AH14+AH16)*Assumptions!$E$50)</f>
        <v>59</v>
      </c>
      <c r="AI19" s="1360">
        <f>INT((AI14+AI16)*Assumptions!$E$50)</f>
        <v>62</v>
      </c>
      <c r="AJ19" s="1357">
        <f>INT((AJ14+AJ16)*Assumptions!$E$50)</f>
        <v>65</v>
      </c>
      <c r="AK19" s="1360">
        <f>INT((AK14+AK16)*Assumptions!$E$50)</f>
        <v>68</v>
      </c>
      <c r="AL19" s="1360">
        <f>INT((AL14+AL16)*Assumptions!$E$50)</f>
        <v>72</v>
      </c>
      <c r="AM19" s="1359">
        <f>INT((AM14+AM16)*Assumptions!$E$50)</f>
        <v>75</v>
      </c>
      <c r="AN19" s="1358">
        <f>INT((AN14+AN16)*Assumptions!$E$50)</f>
        <v>79</v>
      </c>
      <c r="AO19" s="1360">
        <f>INT((AO14+AO16)*Assumptions!$E$50)</f>
        <v>83</v>
      </c>
      <c r="AP19" s="1357">
        <f>INT((AP14+AP16)*Assumptions!$E$50)</f>
        <v>87</v>
      </c>
      <c r="AQ19" s="1360">
        <f>INT((AQ14+AQ16)*Assumptions!$E$50)</f>
        <v>92</v>
      </c>
      <c r="AR19" s="1360">
        <f>INT((AR14+AR16)*Assumptions!$E$50)</f>
        <v>96</v>
      </c>
      <c r="AS19" s="1357">
        <f>INT((AS14+AS16)*Assumptions!$E$50)</f>
        <v>101</v>
      </c>
      <c r="AT19" s="1360">
        <f>INT((AT14+AT16)*Assumptions!$E$50)</f>
        <v>107</v>
      </c>
      <c r="AU19" s="1360">
        <f>INT((AU14+AU16)*Assumptions!$E$50)</f>
        <v>112</v>
      </c>
      <c r="AV19" s="1357">
        <f>INT((AV14+AV16)*Assumptions!$E$50)</f>
        <v>118</v>
      </c>
      <c r="AW19" s="1360">
        <f>INT((AW14+AW16)*Assumptions!$E$50)</f>
        <v>125</v>
      </c>
      <c r="AX19" s="1360">
        <f>INT((AX14+AX16)*Assumptions!$E$50)</f>
        <v>131</v>
      </c>
      <c r="AY19" s="1359">
        <f>INT((AY14+AY16)*Assumptions!$E$50)</f>
        <v>138</v>
      </c>
      <c r="AZ19" s="1358">
        <f>INT((AZ14+AZ16)*Assumptions!$E$50)</f>
        <v>146</v>
      </c>
      <c r="BA19" s="1360">
        <f>INT((BA14+BA16)*Assumptions!$E$50)</f>
        <v>153</v>
      </c>
      <c r="BB19" s="1357">
        <f>INT((BB14+BB16)*Assumptions!$E$50)</f>
        <v>162</v>
      </c>
      <c r="BC19" s="1356">
        <f>INT((BC14+BC16)*Assumptions!$E$50)</f>
        <v>170</v>
      </c>
      <c r="BD19" s="1360">
        <f>INT((BD14+BD16)*Assumptions!$E$50)</f>
        <v>180</v>
      </c>
      <c r="BE19" s="1357">
        <f>INT((BE14+BE16)*Assumptions!$E$50)</f>
        <v>189</v>
      </c>
      <c r="BF19" s="1356">
        <f>INT((BF14+BF16)*Assumptions!$E$50)</f>
        <v>200</v>
      </c>
      <c r="BG19" s="1360">
        <f>INT((BG14+BG16)*Assumptions!$E$50)</f>
        <v>211</v>
      </c>
      <c r="BH19" s="1357">
        <f>INT((BH14+BH16)*Assumptions!$E$50)</f>
        <v>222</v>
      </c>
      <c r="BI19" s="1360">
        <f>INT((BI14+BI16)*Assumptions!$E$50)</f>
        <v>235</v>
      </c>
      <c r="BJ19" s="1360">
        <f>INT((BJ14+BJ16)*Assumptions!$E$50)</f>
        <v>247</v>
      </c>
      <c r="BK19" s="1359">
        <f>INT((BK14+BK16)*Assumptions!$E$50)</f>
        <v>261</v>
      </c>
      <c r="BL19" s="883"/>
      <c r="BM19" s="1382"/>
      <c r="BN19" s="218"/>
      <c r="BP19" s="1368"/>
      <c r="BQ19" s="1368"/>
      <c r="BR19" s="1368"/>
      <c r="BS19" s="1368"/>
      <c r="BT19" s="1368"/>
      <c r="BU19" s="1368"/>
      <c r="BV19" s="1368"/>
      <c r="BW19" s="1368"/>
    </row>
    <row r="20" spans="2:75" s="1366" customFormat="1" ht="15.75">
      <c r="B20" s="1501"/>
      <c r="C20" s="973" t="s">
        <v>501</v>
      </c>
      <c r="D20" s="1346"/>
      <c r="E20" s="1345"/>
      <c r="F20" s="1344"/>
      <c r="G20" s="1346"/>
      <c r="H20" s="1345"/>
      <c r="I20" s="1344"/>
      <c r="J20" s="1343"/>
      <c r="K20" s="1345"/>
      <c r="L20" s="1342"/>
      <c r="M20" s="1463">
        <v>0</v>
      </c>
      <c r="N20" s="1463">
        <v>0</v>
      </c>
      <c r="O20" s="1464">
        <v>0</v>
      </c>
      <c r="P20" s="1358">
        <f>INT((P14+P16)*Assumptions!$E$51)</f>
        <v>16</v>
      </c>
      <c r="Q20" s="1360">
        <f>INT((Q14+Q16)*Assumptions!$E$51)</f>
        <v>18</v>
      </c>
      <c r="R20" s="1357">
        <f>INT((R14+R16)*Assumptions!$E$51)</f>
        <v>21</v>
      </c>
      <c r="S20" s="1360">
        <f>INT((S14+S16)*Assumptions!$E$51)</f>
        <v>22</v>
      </c>
      <c r="T20" s="1360">
        <f>INT((T14+T16)*Assumptions!$E$51)</f>
        <v>23</v>
      </c>
      <c r="U20" s="1357">
        <f>INT((U14+U16)*Assumptions!$E$51)</f>
        <v>24</v>
      </c>
      <c r="V20" s="1360">
        <f>INT((V14+V16)*Assumptions!$E$51)</f>
        <v>25</v>
      </c>
      <c r="W20" s="1360">
        <f>INT((W14+W16)*Assumptions!$E$51)</f>
        <v>26</v>
      </c>
      <c r="X20" s="1357">
        <f>INT((X14+X16)*Assumptions!$E$51)</f>
        <v>28</v>
      </c>
      <c r="Y20" s="1360">
        <f>INT((Y14+Y16)*Assumptions!$E$51)</f>
        <v>29</v>
      </c>
      <c r="Z20" s="1360">
        <f>INT((Z14+Z16)*Assumptions!$E$51)</f>
        <v>30</v>
      </c>
      <c r="AA20" s="1359">
        <f>INT((AA14+AA16)*Assumptions!$E$51)</f>
        <v>32</v>
      </c>
      <c r="AB20" s="1358">
        <f>INT((AB14+AB16)*Assumptions!$E$51)</f>
        <v>33</v>
      </c>
      <c r="AC20" s="1360">
        <f>INT((AC14+AC16)*Assumptions!$E$51)</f>
        <v>35</v>
      </c>
      <c r="AD20" s="1357">
        <f>INT((AD14+AD16)*Assumptions!$E$51)</f>
        <v>37</v>
      </c>
      <c r="AE20" s="1360">
        <f>INT((AE14+AE16)*Assumptions!$E$51)</f>
        <v>38</v>
      </c>
      <c r="AF20" s="1360">
        <f>INT((AF14+AF16)*Assumptions!$E$51)</f>
        <v>40</v>
      </c>
      <c r="AG20" s="1357">
        <f>INT((AG14+AG16)*Assumptions!$E$51)</f>
        <v>42</v>
      </c>
      <c r="AH20" s="1360">
        <f>INT((AH14+AH16)*Assumptions!$E$51)</f>
        <v>44</v>
      </c>
      <c r="AI20" s="1360">
        <f>INT((AI14+AI16)*Assumptions!$E$51)</f>
        <v>46</v>
      </c>
      <c r="AJ20" s="1357">
        <f>INT((AJ14+AJ16)*Assumptions!$E$51)</f>
        <v>49</v>
      </c>
      <c r="AK20" s="1360">
        <f>INT((AK14+AK16)*Assumptions!$E$51)</f>
        <v>51</v>
      </c>
      <c r="AL20" s="1360">
        <f>INT((AL14+AL16)*Assumptions!$E$51)</f>
        <v>54</v>
      </c>
      <c r="AM20" s="1359">
        <f>INT((AM14+AM16)*Assumptions!$E$51)</f>
        <v>56</v>
      </c>
      <c r="AN20" s="1358">
        <f>INT((AN14+AN16)*Assumptions!$E$51)</f>
        <v>59</v>
      </c>
      <c r="AO20" s="1360">
        <f>INT((AO14+AO16)*Assumptions!$E$51)</f>
        <v>62</v>
      </c>
      <c r="AP20" s="1357">
        <f>INT((AP14+AP16)*Assumptions!$E$51)</f>
        <v>65</v>
      </c>
      <c r="AQ20" s="1360">
        <f>INT((AQ14+AQ16)*Assumptions!$E$51)</f>
        <v>69</v>
      </c>
      <c r="AR20" s="1360">
        <f>INT((AR14+AR16)*Assumptions!$E$51)</f>
        <v>72</v>
      </c>
      <c r="AS20" s="1357">
        <f>INT((AS14+AS16)*Assumptions!$E$51)</f>
        <v>76</v>
      </c>
      <c r="AT20" s="1360">
        <f>INT((AT14+AT16)*Assumptions!$E$51)</f>
        <v>80</v>
      </c>
      <c r="AU20" s="1360">
        <f>INT((AU14+AU16)*Assumptions!$E$51)</f>
        <v>84</v>
      </c>
      <c r="AV20" s="1357">
        <f>INT((AV14+AV16)*Assumptions!$E$51)</f>
        <v>89</v>
      </c>
      <c r="AW20" s="1360">
        <f>INT((AW14+AW16)*Assumptions!$E$51)</f>
        <v>93</v>
      </c>
      <c r="AX20" s="1360">
        <f>INT((AX14+AX16)*Assumptions!$E$51)</f>
        <v>98</v>
      </c>
      <c r="AY20" s="1359">
        <f>INT((AY14+AY16)*Assumptions!$E$51)</f>
        <v>103</v>
      </c>
      <c r="AZ20" s="1358">
        <f>INT((AZ14+AZ16)*Assumptions!$E$51)</f>
        <v>109</v>
      </c>
      <c r="BA20" s="1360">
        <f>INT((BA14+BA16)*Assumptions!$E$51)</f>
        <v>115</v>
      </c>
      <c r="BB20" s="1357">
        <f>INT((BB14+BB16)*Assumptions!$E$51)</f>
        <v>121</v>
      </c>
      <c r="BC20" s="1356">
        <f>INT((BC14+BC16)*Assumptions!$E$51)</f>
        <v>127</v>
      </c>
      <c r="BD20" s="1360">
        <f>INT((BD14+BD16)*Assumptions!$E$51)</f>
        <v>135</v>
      </c>
      <c r="BE20" s="1357">
        <f>INT((BE14+BE16)*Assumptions!$E$51)</f>
        <v>142</v>
      </c>
      <c r="BF20" s="1356">
        <f>INT((BF14+BF16)*Assumptions!$E$51)</f>
        <v>150</v>
      </c>
      <c r="BG20" s="1360">
        <f>INT((BG14+BG16)*Assumptions!$E$51)</f>
        <v>158</v>
      </c>
      <c r="BH20" s="1357">
        <f>INT((BH14+BH16)*Assumptions!$E$51)</f>
        <v>167</v>
      </c>
      <c r="BI20" s="1360">
        <f>INT((BI14+BI16)*Assumptions!$E$51)</f>
        <v>176</v>
      </c>
      <c r="BJ20" s="1360">
        <f>INT((BJ14+BJ16)*Assumptions!$E$51)</f>
        <v>185</v>
      </c>
      <c r="BK20" s="1359">
        <f>INT((BK14+BK16)*Assumptions!$E$51)</f>
        <v>196</v>
      </c>
      <c r="BL20" s="883"/>
      <c r="BM20" s="1382"/>
      <c r="BN20" s="218"/>
      <c r="BP20" s="1368"/>
      <c r="BQ20" s="1368"/>
      <c r="BR20" s="1368"/>
      <c r="BS20" s="1368"/>
      <c r="BT20" s="1368"/>
      <c r="BU20" s="1368"/>
      <c r="BV20" s="1368"/>
      <c r="BW20" s="1368"/>
    </row>
    <row r="21" spans="2:75" s="1366" customFormat="1" ht="15.75">
      <c r="B21" s="1501"/>
      <c r="C21" s="1284" t="s">
        <v>502</v>
      </c>
      <c r="D21" s="1346"/>
      <c r="E21" s="1345"/>
      <c r="F21" s="1344"/>
      <c r="G21" s="1346"/>
      <c r="H21" s="1345"/>
      <c r="I21" s="1344"/>
      <c r="J21" s="1343"/>
      <c r="K21" s="1345"/>
      <c r="L21" s="1342"/>
      <c r="M21" s="1345">
        <f>M18*Assumptions!$D$45+M19*Assumptions!$D$46+M20*Assumptions!$D$47</f>
        <v>0</v>
      </c>
      <c r="N21" s="1345">
        <f>N18*Assumptions!$D$45+N19*Assumptions!$D$46+N20*Assumptions!$D$47</f>
        <v>0</v>
      </c>
      <c r="O21" s="1341">
        <f>O18*Assumptions!$D$45+O19*Assumptions!$D$46+O20*Assumptions!$D$47</f>
        <v>0</v>
      </c>
      <c r="P21" s="1340">
        <f>P18*Assumptions!$D$45+P19*Assumptions!$D$46+P20*Assumptions!$D$47</f>
        <v>9800</v>
      </c>
      <c r="Q21" s="1345">
        <f>Q18*Assumptions!$D$45+Q19*Assumptions!$D$46+Q20*Assumptions!$D$47</f>
        <v>11050</v>
      </c>
      <c r="R21" s="1344">
        <f>R18*Assumptions!$D$45+R19*Assumptions!$D$46+R20*Assumptions!$D$47</f>
        <v>12600</v>
      </c>
      <c r="S21" s="1345">
        <f>S18*Assumptions!$D$45+S19*Assumptions!$D$46+S20*Assumptions!$D$47</f>
        <v>13150</v>
      </c>
      <c r="T21" s="1345">
        <f>T18*Assumptions!$D$45+T19*Assumptions!$D$46+T20*Assumptions!$D$47</f>
        <v>13700</v>
      </c>
      <c r="U21" s="1344">
        <f>U18*Assumptions!$D$45+U19*Assumptions!$D$46+U20*Assumptions!$D$47</f>
        <v>14400</v>
      </c>
      <c r="V21" s="1345">
        <f>V18*Assumptions!$D$45+V19*Assumptions!$D$46+V20*Assumptions!$D$47</f>
        <v>15200</v>
      </c>
      <c r="W21" s="1345">
        <f>W18*Assumptions!$D$45+W19*Assumptions!$D$46+W20*Assumptions!$D$47</f>
        <v>15750</v>
      </c>
      <c r="X21" s="1344">
        <f>X18*Assumptions!$D$45+X19*Assumptions!$D$46+X20*Assumptions!$D$47</f>
        <v>16750</v>
      </c>
      <c r="Y21" s="1345">
        <f>Y18*Assumptions!$D$45+Y19*Assumptions!$D$46+Y20*Assumptions!$D$47</f>
        <v>17450</v>
      </c>
      <c r="Z21" s="1345">
        <f>Z18*Assumptions!$D$45+Z19*Assumptions!$D$46+Z20*Assumptions!$D$47</f>
        <v>18250</v>
      </c>
      <c r="AA21" s="1341">
        <f>AA18*Assumptions!$D$45+AA19*Assumptions!$D$46+AA20*Assumptions!$D$47</f>
        <v>19250</v>
      </c>
      <c r="AB21" s="1340">
        <f>AB18*Assumptions!$D$45+AB19*Assumptions!$D$46+AB20*Assumptions!$D$47</f>
        <v>20050</v>
      </c>
      <c r="AC21" s="1345">
        <f>AC18*Assumptions!$D$45+AC19*Assumptions!$D$46+AC20*Assumptions!$D$47</f>
        <v>21050</v>
      </c>
      <c r="AD21" s="1344">
        <f>AD18*Assumptions!$D$45+AD19*Assumptions!$D$46+AD20*Assumptions!$D$47</f>
        <v>22150</v>
      </c>
      <c r="AE21" s="1345">
        <f>AE18*Assumptions!$D$45+AE19*Assumptions!$D$46+AE20*Assumptions!$D$47</f>
        <v>22950</v>
      </c>
      <c r="AF21" s="1345">
        <f>AF18*Assumptions!$D$45+AF19*Assumptions!$D$46+AF20*Assumptions!$D$47</f>
        <v>24200</v>
      </c>
      <c r="AG21" s="1344">
        <f>AG18*Assumptions!$D$45+AG19*Assumptions!$D$46+AG20*Assumptions!$D$47</f>
        <v>25300</v>
      </c>
      <c r="AH21" s="1345">
        <f>AH18*Assumptions!$D$45+AH19*Assumptions!$D$46+AH20*Assumptions!$D$47</f>
        <v>26550</v>
      </c>
      <c r="AI21" s="1345">
        <f>AI18*Assumptions!$D$45+AI19*Assumptions!$D$46+AI20*Assumptions!$D$47</f>
        <v>27800</v>
      </c>
      <c r="AJ21" s="1344">
        <f>AJ18*Assumptions!$D$45+AJ19*Assumptions!$D$46+AJ20*Assumptions!$D$47</f>
        <v>29350</v>
      </c>
      <c r="AK21" s="1345">
        <f>AK18*Assumptions!$D$45+AK19*Assumptions!$D$46+AK20*Assumptions!$D$47</f>
        <v>30600</v>
      </c>
      <c r="AL21" s="1345">
        <f>AL18*Assumptions!$D$45+AL19*Assumptions!$D$46+AL20*Assumptions!$D$47</f>
        <v>32400</v>
      </c>
      <c r="AM21" s="1341">
        <f>AM18*Assumptions!$D$45+AM19*Assumptions!$D$46+AM20*Assumptions!$D$47</f>
        <v>33750</v>
      </c>
      <c r="AN21" s="1340">
        <f>AN18*Assumptions!$D$45+AN19*Assumptions!$D$46+AN20*Assumptions!$D$47</f>
        <v>35550</v>
      </c>
      <c r="AO21" s="1345">
        <f>AO18*Assumptions!$D$45+AO19*Assumptions!$D$46+AO20*Assumptions!$D$47</f>
        <v>37350</v>
      </c>
      <c r="AP21" s="1344">
        <f>AP18*Assumptions!$D$45+AP19*Assumptions!$D$46+AP20*Assumptions!$D$47</f>
        <v>39150</v>
      </c>
      <c r="AQ21" s="1345">
        <f>AQ18*Assumptions!$D$45+AQ19*Assumptions!$D$46+AQ20*Assumptions!$D$47</f>
        <v>41400</v>
      </c>
      <c r="AR21" s="1345">
        <f>AR18*Assumptions!$D$45+AR19*Assumptions!$D$46+AR20*Assumptions!$D$47</f>
        <v>43300</v>
      </c>
      <c r="AS21" s="1344">
        <f>AS18*Assumptions!$D$45+AS19*Assumptions!$D$46+AS20*Assumptions!$D$47</f>
        <v>45550</v>
      </c>
      <c r="AT21" s="1345">
        <f>AT18*Assumptions!$D$45+AT19*Assumptions!$D$46+AT20*Assumptions!$D$47</f>
        <v>48050</v>
      </c>
      <c r="AU21" s="1345">
        <f>AU18*Assumptions!$D$45+AU19*Assumptions!$D$46+AU20*Assumptions!$D$47</f>
        <v>50500</v>
      </c>
      <c r="AV21" s="1344">
        <f>AV18*Assumptions!$D$45+AV19*Assumptions!$D$46+AV20*Assumptions!$D$47</f>
        <v>53300</v>
      </c>
      <c r="AW21" s="1345">
        <f>AW18*Assumptions!$D$45+AW19*Assumptions!$D$46+AW20*Assumptions!$D$47</f>
        <v>56050</v>
      </c>
      <c r="AX21" s="1345">
        <f>AX18*Assumptions!$D$45+AX19*Assumptions!$D$46+AX20*Assumptions!$D$47</f>
        <v>58950</v>
      </c>
      <c r="AY21" s="1341">
        <f>AY18*Assumptions!$D$45+AY19*Assumptions!$D$46+AY20*Assumptions!$D$47</f>
        <v>62000</v>
      </c>
      <c r="AZ21" s="1340">
        <f>AZ18*Assumptions!$D$45+AZ19*Assumptions!$D$46+AZ20*Assumptions!$D$47</f>
        <v>65600</v>
      </c>
      <c r="BA21" s="1345">
        <f>BA18*Assumptions!$D$45+BA19*Assumptions!$D$46+BA20*Assumptions!$D$47</f>
        <v>68950</v>
      </c>
      <c r="BB21" s="1344">
        <f>BB18*Assumptions!$D$45+BB19*Assumptions!$D$46+BB20*Assumptions!$D$47</f>
        <v>72800</v>
      </c>
      <c r="BC21" s="1343">
        <f>BC18*Assumptions!$D$45+BC19*Assumptions!$D$46+BC20*Assumptions!$D$47</f>
        <v>76400</v>
      </c>
      <c r="BD21" s="1345">
        <f>BD18*Assumptions!$D$45+BD19*Assumptions!$D$46+BD20*Assumptions!$D$47</f>
        <v>81000</v>
      </c>
      <c r="BE21" s="1344">
        <f>BE18*Assumptions!$D$45+BE19*Assumptions!$D$46+BE20*Assumptions!$D$47</f>
        <v>85150</v>
      </c>
      <c r="BF21" s="1343">
        <f>BF18*Assumptions!$D$45+BF19*Assumptions!$D$46+BF20*Assumptions!$D$47</f>
        <v>90000</v>
      </c>
      <c r="BG21" s="1345">
        <f>BG18*Assumptions!$D$45+BG19*Assumptions!$D$46+BG20*Assumptions!$D$47</f>
        <v>94850</v>
      </c>
      <c r="BH21" s="1344">
        <f>BH18*Assumptions!$D$45+BH19*Assumptions!$D$46+BH20*Assumptions!$D$47</f>
        <v>100100</v>
      </c>
      <c r="BI21" s="1345">
        <f>BI18*Assumptions!$D$45+BI19*Assumptions!$D$46+BI20*Assumptions!$D$47</f>
        <v>105650</v>
      </c>
      <c r="BJ21" s="1345">
        <f>BJ18*Assumptions!$D$45+BJ19*Assumptions!$D$46+BJ20*Assumptions!$D$47</f>
        <v>111150</v>
      </c>
      <c r="BK21" s="1341">
        <f>BK18*Assumptions!$D$45+BK19*Assumptions!$D$46+BK20*Assumptions!$D$47</f>
        <v>117550</v>
      </c>
      <c r="BL21" s="883"/>
      <c r="BM21" s="1382"/>
      <c r="BN21" s="218"/>
      <c r="BP21" s="1368"/>
      <c r="BQ21" s="1368"/>
      <c r="BR21" s="1368"/>
      <c r="BS21" s="1368"/>
      <c r="BT21" s="1368"/>
      <c r="BU21" s="1368"/>
      <c r="BV21" s="1368"/>
      <c r="BW21" s="1368"/>
    </row>
    <row r="22" spans="2:75" s="877" customFormat="1" ht="15.75">
      <c r="B22" s="1501"/>
      <c r="C22" s="1384" t="s">
        <v>280</v>
      </c>
      <c r="D22" s="1001"/>
      <c r="E22" s="987"/>
      <c r="F22" s="988"/>
      <c r="G22" s="987"/>
      <c r="H22" s="987"/>
      <c r="I22" s="988"/>
      <c r="J22" s="987"/>
      <c r="K22" s="987"/>
      <c r="L22" s="988"/>
      <c r="M22" s="1326">
        <v>50</v>
      </c>
      <c r="N22" s="1254">
        <f>M22*(1+$BM$22)</f>
        <v>49.95</v>
      </c>
      <c r="O22" s="1259">
        <f aca="true" t="shared" si="49" ref="O22:BK22">N22*(1+$BM$22)</f>
        <v>49.90005</v>
      </c>
      <c r="P22" s="1260">
        <f t="shared" si="49"/>
        <v>49.85014995</v>
      </c>
      <c r="Q22" s="1254">
        <f t="shared" si="49"/>
        <v>49.800299800050006</v>
      </c>
      <c r="R22" s="1261">
        <f t="shared" si="49"/>
        <v>49.75049950024996</v>
      </c>
      <c r="S22" s="1254">
        <f t="shared" si="49"/>
        <v>49.70074900074971</v>
      </c>
      <c r="T22" s="1254">
        <f t="shared" si="49"/>
        <v>49.65104825174896</v>
      </c>
      <c r="U22" s="1261">
        <f t="shared" si="49"/>
        <v>49.601397203497214</v>
      </c>
      <c r="V22" s="1254">
        <f t="shared" si="49"/>
        <v>49.55179580629372</v>
      </c>
      <c r="W22" s="1254">
        <f t="shared" si="49"/>
        <v>49.50224401048742</v>
      </c>
      <c r="X22" s="1261">
        <f t="shared" si="49"/>
        <v>49.45274176647693</v>
      </c>
      <c r="Y22" s="1254">
        <f t="shared" si="49"/>
        <v>49.40328902471045</v>
      </c>
      <c r="Z22" s="1254">
        <f t="shared" si="49"/>
        <v>49.35388573568574</v>
      </c>
      <c r="AA22" s="1259">
        <f t="shared" si="49"/>
        <v>49.30453184995006</v>
      </c>
      <c r="AB22" s="1260">
        <f t="shared" si="49"/>
        <v>49.25522731810011</v>
      </c>
      <c r="AC22" s="1254">
        <f t="shared" si="49"/>
        <v>49.20597209078201</v>
      </c>
      <c r="AD22" s="1261">
        <f t="shared" si="49"/>
        <v>49.15676611869123</v>
      </c>
      <c r="AE22" s="1254">
        <f t="shared" si="49"/>
        <v>49.10760935257254</v>
      </c>
      <c r="AF22" s="1254">
        <f t="shared" si="49"/>
        <v>49.05850174321996</v>
      </c>
      <c r="AG22" s="1261">
        <f t="shared" si="49"/>
        <v>49.009443241476745</v>
      </c>
      <c r="AH22" s="1254">
        <f t="shared" si="49"/>
        <v>48.96043379823527</v>
      </c>
      <c r="AI22" s="1254">
        <f t="shared" si="49"/>
        <v>48.911473364437036</v>
      </c>
      <c r="AJ22" s="1261">
        <f t="shared" si="49"/>
        <v>48.8625618910726</v>
      </c>
      <c r="AK22" s="1254">
        <f t="shared" si="49"/>
        <v>48.81369932918153</v>
      </c>
      <c r="AL22" s="1254">
        <f t="shared" si="49"/>
        <v>48.76488562985235</v>
      </c>
      <c r="AM22" s="1259">
        <f t="shared" si="49"/>
        <v>48.7161207442225</v>
      </c>
      <c r="AN22" s="1260">
        <f t="shared" si="49"/>
        <v>48.66740462347828</v>
      </c>
      <c r="AO22" s="1254">
        <f t="shared" si="49"/>
        <v>48.6187372188548</v>
      </c>
      <c r="AP22" s="1261">
        <f t="shared" si="49"/>
        <v>48.570118481635944</v>
      </c>
      <c r="AQ22" s="1254">
        <f t="shared" si="49"/>
        <v>48.52154836315431</v>
      </c>
      <c r="AR22" s="1254">
        <f t="shared" si="49"/>
        <v>48.473026814791154</v>
      </c>
      <c r="AS22" s="1261">
        <f t="shared" si="49"/>
        <v>48.424553787976365</v>
      </c>
      <c r="AT22" s="1254">
        <f t="shared" si="49"/>
        <v>48.37612923418839</v>
      </c>
      <c r="AU22" s="1254">
        <f t="shared" si="49"/>
        <v>48.327753104954205</v>
      </c>
      <c r="AV22" s="1261">
        <f t="shared" si="49"/>
        <v>48.27942535184925</v>
      </c>
      <c r="AW22" s="1254">
        <f t="shared" si="49"/>
        <v>48.2311459264974</v>
      </c>
      <c r="AX22" s="1254">
        <f t="shared" si="49"/>
        <v>48.1829147805709</v>
      </c>
      <c r="AY22" s="1259">
        <f t="shared" si="49"/>
        <v>48.13473186579033</v>
      </c>
      <c r="AZ22" s="1260">
        <f t="shared" si="49"/>
        <v>48.086597133924535</v>
      </c>
      <c r="BA22" s="1254">
        <f t="shared" si="49"/>
        <v>48.03851053679061</v>
      </c>
      <c r="BB22" s="1261">
        <f t="shared" si="49"/>
        <v>47.99047202625382</v>
      </c>
      <c r="BC22" s="1254">
        <f t="shared" si="49"/>
        <v>47.94248155422756</v>
      </c>
      <c r="BD22" s="1254">
        <f t="shared" si="49"/>
        <v>47.89453907267333</v>
      </c>
      <c r="BE22" s="1261">
        <f t="shared" si="49"/>
        <v>47.84664453360066</v>
      </c>
      <c r="BF22" s="1254">
        <f t="shared" si="49"/>
        <v>47.79879788906706</v>
      </c>
      <c r="BG22" s="1254">
        <f t="shared" si="49"/>
        <v>47.750999091177995</v>
      </c>
      <c r="BH22" s="1261">
        <f t="shared" si="49"/>
        <v>47.70324809208682</v>
      </c>
      <c r="BI22" s="1254">
        <f t="shared" si="49"/>
        <v>47.65554484399473</v>
      </c>
      <c r="BJ22" s="1254">
        <f t="shared" si="49"/>
        <v>47.607889299150735</v>
      </c>
      <c r="BK22" s="1259">
        <f t="shared" si="49"/>
        <v>47.560281409851584</v>
      </c>
      <c r="BL22" s="882"/>
      <c r="BM22" s="1382">
        <v>-0.001</v>
      </c>
      <c r="BP22" s="886"/>
      <c r="BQ22" s="886"/>
      <c r="BR22" s="886"/>
      <c r="BS22" s="886"/>
      <c r="BT22" s="886"/>
      <c r="BU22" s="886"/>
      <c r="BV22" s="886"/>
      <c r="BW22" s="886"/>
    </row>
    <row r="23" spans="2:75" s="877" customFormat="1" ht="15.75">
      <c r="B23" s="1501"/>
      <c r="C23" s="1384" t="s">
        <v>304</v>
      </c>
      <c r="D23" s="991"/>
      <c r="E23" s="989"/>
      <c r="F23" s="990"/>
      <c r="G23" s="991"/>
      <c r="H23" s="989"/>
      <c r="I23" s="990"/>
      <c r="J23" s="989"/>
      <c r="K23" s="989"/>
      <c r="L23" s="990"/>
      <c r="M23" s="1241">
        <f>Assumptions!$D$82/3</f>
        <v>5000</v>
      </c>
      <c r="N23" s="1250">
        <f>Assumptions!$D$82/3</f>
        <v>5000</v>
      </c>
      <c r="O23" s="1251">
        <f>Assumptions!$D$82/3</f>
        <v>5000</v>
      </c>
      <c r="P23" s="1252">
        <f>Assumptions!$E$82/12</f>
        <v>5000</v>
      </c>
      <c r="Q23" s="1250">
        <f>Assumptions!$E$82/12</f>
        <v>5000</v>
      </c>
      <c r="R23" s="1253">
        <f>Assumptions!$E$82/12</f>
        <v>5000</v>
      </c>
      <c r="S23" s="1250">
        <f>Assumptions!$E$82/12</f>
        <v>5000</v>
      </c>
      <c r="T23" s="1250">
        <f>Assumptions!$E$82/12</f>
        <v>5000</v>
      </c>
      <c r="U23" s="1253">
        <f>Assumptions!$E$82/12</f>
        <v>5000</v>
      </c>
      <c r="V23" s="1250">
        <f>Assumptions!$E$82/12</f>
        <v>5000</v>
      </c>
      <c r="W23" s="1250">
        <f>Assumptions!$E$82/12</f>
        <v>5000</v>
      </c>
      <c r="X23" s="1253">
        <f>Assumptions!$E$82/12</f>
        <v>5000</v>
      </c>
      <c r="Y23" s="1250">
        <f>Assumptions!$E$82/12</f>
        <v>5000</v>
      </c>
      <c r="Z23" s="1250">
        <f>Assumptions!$E$82/12</f>
        <v>5000</v>
      </c>
      <c r="AA23" s="1251">
        <f>Assumptions!$E$82/12</f>
        <v>5000</v>
      </c>
      <c r="AB23" s="1252">
        <f>Assumptions!$F$82/12</f>
        <v>7500</v>
      </c>
      <c r="AC23" s="1250">
        <f>Assumptions!$F$82/12</f>
        <v>7500</v>
      </c>
      <c r="AD23" s="1253">
        <f>Assumptions!$F$82/12</f>
        <v>7500</v>
      </c>
      <c r="AE23" s="1250">
        <f>Assumptions!$F$82/12</f>
        <v>7500</v>
      </c>
      <c r="AF23" s="1250">
        <f>Assumptions!$F$82/12</f>
        <v>7500</v>
      </c>
      <c r="AG23" s="1253">
        <f>Assumptions!$F$82/12</f>
        <v>7500</v>
      </c>
      <c r="AH23" s="1250">
        <f>Assumptions!$F$82/12</f>
        <v>7500</v>
      </c>
      <c r="AI23" s="1250">
        <f>Assumptions!$F$82/12</f>
        <v>7500</v>
      </c>
      <c r="AJ23" s="1253">
        <f>Assumptions!$F$82/12</f>
        <v>7500</v>
      </c>
      <c r="AK23" s="1250">
        <f>Assumptions!$F$82/12</f>
        <v>7500</v>
      </c>
      <c r="AL23" s="1250">
        <f>Assumptions!$F$82/12</f>
        <v>7500</v>
      </c>
      <c r="AM23" s="1251">
        <f>Assumptions!$F$82/12</f>
        <v>7500</v>
      </c>
      <c r="AN23" s="1252">
        <f>Assumptions!$G$82/12</f>
        <v>11250</v>
      </c>
      <c r="AO23" s="1250">
        <f>Assumptions!$G$82/12</f>
        <v>11250</v>
      </c>
      <c r="AP23" s="1253">
        <f>Assumptions!$G$82/12</f>
        <v>11250</v>
      </c>
      <c r="AQ23" s="1250">
        <f>Assumptions!$G$82/12</f>
        <v>11250</v>
      </c>
      <c r="AR23" s="1250">
        <f>Assumptions!$G$82/12</f>
        <v>11250</v>
      </c>
      <c r="AS23" s="1253">
        <f>Assumptions!$G$82/12</f>
        <v>11250</v>
      </c>
      <c r="AT23" s="1250">
        <f>Assumptions!$G$82/12</f>
        <v>11250</v>
      </c>
      <c r="AU23" s="1250">
        <f>Assumptions!$G$82/12</f>
        <v>11250</v>
      </c>
      <c r="AV23" s="1253">
        <f>Assumptions!$G$82/12</f>
        <v>11250</v>
      </c>
      <c r="AW23" s="1250">
        <f>Assumptions!$G$82/12</f>
        <v>11250</v>
      </c>
      <c r="AX23" s="1250">
        <f>Assumptions!$G$82/12</f>
        <v>11250</v>
      </c>
      <c r="AY23" s="1251">
        <f>Assumptions!$G$82/12</f>
        <v>11250</v>
      </c>
      <c r="AZ23" s="1252">
        <f>Assumptions!$H$82/12</f>
        <v>16875</v>
      </c>
      <c r="BA23" s="1250">
        <f>Assumptions!$H$82/12</f>
        <v>16875</v>
      </c>
      <c r="BB23" s="1253">
        <f>Assumptions!$H$82/12</f>
        <v>16875</v>
      </c>
      <c r="BC23" s="1250">
        <f>Assumptions!$H$82/12</f>
        <v>16875</v>
      </c>
      <c r="BD23" s="1250">
        <f>Assumptions!$H$82/12</f>
        <v>16875</v>
      </c>
      <c r="BE23" s="1253">
        <f>Assumptions!$H$82/12</f>
        <v>16875</v>
      </c>
      <c r="BF23" s="1250">
        <f>Assumptions!$H$82/12</f>
        <v>16875</v>
      </c>
      <c r="BG23" s="1250">
        <f>Assumptions!$H$82/12</f>
        <v>16875</v>
      </c>
      <c r="BH23" s="1253">
        <f>Assumptions!$H$82/12</f>
        <v>16875</v>
      </c>
      <c r="BI23" s="1250">
        <f>Assumptions!$H$82/12</f>
        <v>16875</v>
      </c>
      <c r="BJ23" s="1250">
        <f>Assumptions!$H$82/12</f>
        <v>16875</v>
      </c>
      <c r="BK23" s="1251">
        <f>Assumptions!$H$82/12</f>
        <v>16875</v>
      </c>
      <c r="BL23" s="882"/>
      <c r="BM23" s="983"/>
      <c r="BP23" s="886"/>
      <c r="BQ23" s="886"/>
      <c r="BR23" s="886"/>
      <c r="BS23" s="886"/>
      <c r="BT23" s="886"/>
      <c r="BU23" s="886"/>
      <c r="BV23" s="886"/>
      <c r="BW23" s="886"/>
    </row>
    <row r="24" spans="2:75" s="877" customFormat="1" ht="15.75">
      <c r="B24" s="1501"/>
      <c r="C24" s="1384" t="s">
        <v>488</v>
      </c>
      <c r="D24" s="1002"/>
      <c r="E24" s="992"/>
      <c r="F24" s="993"/>
      <c r="G24" s="992"/>
      <c r="H24" s="992"/>
      <c r="I24" s="993"/>
      <c r="J24" s="992"/>
      <c r="K24" s="992"/>
      <c r="L24" s="993"/>
      <c r="M24" s="987">
        <f>INT(M23/M22)</f>
        <v>100</v>
      </c>
      <c r="N24" s="1255">
        <f aca="true" t="shared" si="50" ref="N24:BK24">INT(N23/N22)</f>
        <v>100</v>
      </c>
      <c r="O24" s="1256">
        <f t="shared" si="50"/>
        <v>100</v>
      </c>
      <c r="P24" s="1257">
        <f t="shared" si="50"/>
        <v>100</v>
      </c>
      <c r="Q24" s="1255">
        <f t="shared" si="50"/>
        <v>100</v>
      </c>
      <c r="R24" s="1258">
        <f t="shared" si="50"/>
        <v>100</v>
      </c>
      <c r="S24" s="1255">
        <f t="shared" si="50"/>
        <v>100</v>
      </c>
      <c r="T24" s="1255">
        <f t="shared" si="50"/>
        <v>100</v>
      </c>
      <c r="U24" s="1258">
        <f t="shared" si="50"/>
        <v>100</v>
      </c>
      <c r="V24" s="1255">
        <f t="shared" si="50"/>
        <v>100</v>
      </c>
      <c r="W24" s="1255">
        <f t="shared" si="50"/>
        <v>101</v>
      </c>
      <c r="X24" s="1258">
        <f t="shared" si="50"/>
        <v>101</v>
      </c>
      <c r="Y24" s="1255">
        <f t="shared" si="50"/>
        <v>101</v>
      </c>
      <c r="Z24" s="1255">
        <f t="shared" si="50"/>
        <v>101</v>
      </c>
      <c r="AA24" s="1256">
        <f t="shared" si="50"/>
        <v>101</v>
      </c>
      <c r="AB24" s="1257">
        <f t="shared" si="50"/>
        <v>152</v>
      </c>
      <c r="AC24" s="1255">
        <f t="shared" si="50"/>
        <v>152</v>
      </c>
      <c r="AD24" s="1258">
        <f t="shared" si="50"/>
        <v>152</v>
      </c>
      <c r="AE24" s="1255">
        <f t="shared" si="50"/>
        <v>152</v>
      </c>
      <c r="AF24" s="1255">
        <f t="shared" si="50"/>
        <v>152</v>
      </c>
      <c r="AG24" s="1258">
        <f t="shared" si="50"/>
        <v>153</v>
      </c>
      <c r="AH24" s="1255">
        <f t="shared" si="50"/>
        <v>153</v>
      </c>
      <c r="AI24" s="1255">
        <f t="shared" si="50"/>
        <v>153</v>
      </c>
      <c r="AJ24" s="1258">
        <f t="shared" si="50"/>
        <v>153</v>
      </c>
      <c r="AK24" s="1255">
        <f t="shared" si="50"/>
        <v>153</v>
      </c>
      <c r="AL24" s="1255">
        <f t="shared" si="50"/>
        <v>153</v>
      </c>
      <c r="AM24" s="1256">
        <f t="shared" si="50"/>
        <v>153</v>
      </c>
      <c r="AN24" s="1257">
        <f t="shared" si="50"/>
        <v>231</v>
      </c>
      <c r="AO24" s="1255">
        <f t="shared" si="50"/>
        <v>231</v>
      </c>
      <c r="AP24" s="1258">
        <f t="shared" si="50"/>
        <v>231</v>
      </c>
      <c r="AQ24" s="1255">
        <f t="shared" si="50"/>
        <v>231</v>
      </c>
      <c r="AR24" s="1255">
        <f t="shared" si="50"/>
        <v>232</v>
      </c>
      <c r="AS24" s="1258">
        <f t="shared" si="50"/>
        <v>232</v>
      </c>
      <c r="AT24" s="1255">
        <f t="shared" si="50"/>
        <v>232</v>
      </c>
      <c r="AU24" s="1255">
        <f t="shared" si="50"/>
        <v>232</v>
      </c>
      <c r="AV24" s="1258">
        <f t="shared" si="50"/>
        <v>233</v>
      </c>
      <c r="AW24" s="1255">
        <f t="shared" si="50"/>
        <v>233</v>
      </c>
      <c r="AX24" s="1255">
        <f t="shared" si="50"/>
        <v>233</v>
      </c>
      <c r="AY24" s="1256">
        <f t="shared" si="50"/>
        <v>233</v>
      </c>
      <c r="AZ24" s="1257">
        <f t="shared" si="50"/>
        <v>350</v>
      </c>
      <c r="BA24" s="1255">
        <f t="shared" si="50"/>
        <v>351</v>
      </c>
      <c r="BB24" s="1258">
        <f t="shared" si="50"/>
        <v>351</v>
      </c>
      <c r="BC24" s="1255">
        <f t="shared" si="50"/>
        <v>351</v>
      </c>
      <c r="BD24" s="1255">
        <f t="shared" si="50"/>
        <v>352</v>
      </c>
      <c r="BE24" s="1258">
        <f t="shared" si="50"/>
        <v>352</v>
      </c>
      <c r="BF24" s="1255">
        <f t="shared" si="50"/>
        <v>353</v>
      </c>
      <c r="BG24" s="1255">
        <f t="shared" si="50"/>
        <v>353</v>
      </c>
      <c r="BH24" s="1258">
        <f t="shared" si="50"/>
        <v>353</v>
      </c>
      <c r="BI24" s="1255">
        <f t="shared" si="50"/>
        <v>354</v>
      </c>
      <c r="BJ24" s="1255">
        <f t="shared" si="50"/>
        <v>354</v>
      </c>
      <c r="BK24" s="1256">
        <f t="shared" si="50"/>
        <v>354</v>
      </c>
      <c r="BL24" s="882"/>
      <c r="BM24" s="983"/>
      <c r="BP24" s="886"/>
      <c r="BQ24" s="886"/>
      <c r="BR24" s="886"/>
      <c r="BS24" s="886"/>
      <c r="BT24" s="886"/>
      <c r="BU24" s="886"/>
      <c r="BV24" s="886"/>
      <c r="BW24" s="886"/>
    </row>
    <row r="25" spans="2:75" s="877" customFormat="1" ht="15.75">
      <c r="B25" s="1501"/>
      <c r="C25" s="1283" t="s">
        <v>489</v>
      </c>
      <c r="D25" s="986"/>
      <c r="E25" s="987"/>
      <c r="F25" s="988"/>
      <c r="G25" s="987"/>
      <c r="H25" s="987"/>
      <c r="I25" s="988"/>
      <c r="J25" s="987"/>
      <c r="K25" s="987"/>
      <c r="L25" s="988"/>
      <c r="M25" s="1325">
        <v>0.1</v>
      </c>
      <c r="N25" s="1325">
        <v>0.1</v>
      </c>
      <c r="O25" s="1465">
        <v>0.1</v>
      </c>
      <c r="P25" s="1323">
        <v>0.04</v>
      </c>
      <c r="Q25" s="1322">
        <f aca="true" t="shared" si="51" ref="Q25:BK25">P25*(1+$BM$25)</f>
        <v>0.0408</v>
      </c>
      <c r="R25" s="1321">
        <f t="shared" si="51"/>
        <v>0.04161600000000001</v>
      </c>
      <c r="S25" s="1322">
        <f t="shared" si="51"/>
        <v>0.042448320000000005</v>
      </c>
      <c r="T25" s="1322">
        <f t="shared" si="51"/>
        <v>0.0432972864</v>
      </c>
      <c r="U25" s="1321">
        <f t="shared" si="51"/>
        <v>0.044163232128</v>
      </c>
      <c r="V25" s="1322">
        <f t="shared" si="51"/>
        <v>0.04504649677056</v>
      </c>
      <c r="W25" s="1322">
        <f t="shared" si="51"/>
        <v>0.045947426705971205</v>
      </c>
      <c r="X25" s="1321">
        <f t="shared" si="51"/>
        <v>0.04686637524009063</v>
      </c>
      <c r="Y25" s="1322">
        <f t="shared" si="51"/>
        <v>0.04780370274489244</v>
      </c>
      <c r="Z25" s="1322">
        <f t="shared" si="51"/>
        <v>0.048759776799790294</v>
      </c>
      <c r="AA25" s="1324">
        <f t="shared" si="51"/>
        <v>0.0497349723357861</v>
      </c>
      <c r="AB25" s="1323">
        <f t="shared" si="51"/>
        <v>0.050729671782501824</v>
      </c>
      <c r="AC25" s="1322">
        <f t="shared" si="51"/>
        <v>0.05174426521815186</v>
      </c>
      <c r="AD25" s="1321">
        <f t="shared" si="51"/>
        <v>0.0527791505225149</v>
      </c>
      <c r="AE25" s="1322">
        <f t="shared" si="51"/>
        <v>0.0538347335329652</v>
      </c>
      <c r="AF25" s="1322">
        <f t="shared" si="51"/>
        <v>0.054911428203624504</v>
      </c>
      <c r="AG25" s="1321">
        <f t="shared" si="51"/>
        <v>0.056009656767696994</v>
      </c>
      <c r="AH25" s="1322">
        <f t="shared" si="51"/>
        <v>0.057129849903050936</v>
      </c>
      <c r="AI25" s="1322">
        <f t="shared" si="51"/>
        <v>0.058272446901111954</v>
      </c>
      <c r="AJ25" s="1321">
        <f t="shared" si="51"/>
        <v>0.0594378958391342</v>
      </c>
      <c r="AK25" s="1322">
        <f t="shared" si="51"/>
        <v>0.06062665375591688</v>
      </c>
      <c r="AL25" s="1322">
        <f t="shared" si="51"/>
        <v>0.06183918683103522</v>
      </c>
      <c r="AM25" s="1324">
        <f t="shared" si="51"/>
        <v>0.06307597056765592</v>
      </c>
      <c r="AN25" s="1323">
        <f t="shared" si="51"/>
        <v>0.06433748997900904</v>
      </c>
      <c r="AO25" s="1322">
        <f t="shared" si="51"/>
        <v>0.06562423977858922</v>
      </c>
      <c r="AP25" s="1321">
        <f t="shared" si="51"/>
        <v>0.06693672457416101</v>
      </c>
      <c r="AQ25" s="1322">
        <f t="shared" si="51"/>
        <v>0.06827545906564424</v>
      </c>
      <c r="AR25" s="1322">
        <f t="shared" si="51"/>
        <v>0.06964096824695712</v>
      </c>
      <c r="AS25" s="1321">
        <f t="shared" si="51"/>
        <v>0.07103378761189626</v>
      </c>
      <c r="AT25" s="1322">
        <f t="shared" si="51"/>
        <v>0.07245446336413418</v>
      </c>
      <c r="AU25" s="1322">
        <f t="shared" si="51"/>
        <v>0.07390355263141686</v>
      </c>
      <c r="AV25" s="1321">
        <f t="shared" si="51"/>
        <v>0.0753816236840452</v>
      </c>
      <c r="AW25" s="1322">
        <f t="shared" si="51"/>
        <v>0.07688925615772611</v>
      </c>
      <c r="AX25" s="1322">
        <f t="shared" si="51"/>
        <v>0.07842704128088064</v>
      </c>
      <c r="AY25" s="1324">
        <f t="shared" si="51"/>
        <v>0.07999558210649825</v>
      </c>
      <c r="AZ25" s="1323">
        <f t="shared" si="51"/>
        <v>0.08159549374862822</v>
      </c>
      <c r="BA25" s="1322">
        <f t="shared" si="51"/>
        <v>0.08322740362360079</v>
      </c>
      <c r="BB25" s="1321">
        <f t="shared" si="51"/>
        <v>0.0848919516960728</v>
      </c>
      <c r="BC25" s="1322">
        <f t="shared" si="51"/>
        <v>0.08658979072999426</v>
      </c>
      <c r="BD25" s="1322">
        <f t="shared" si="51"/>
        <v>0.08832158654459414</v>
      </c>
      <c r="BE25" s="1321">
        <f t="shared" si="51"/>
        <v>0.09008801827548603</v>
      </c>
      <c r="BF25" s="1322">
        <f t="shared" si="51"/>
        <v>0.09188977864099575</v>
      </c>
      <c r="BG25" s="1322">
        <f t="shared" si="51"/>
        <v>0.09372757421381567</v>
      </c>
      <c r="BH25" s="1321">
        <f t="shared" si="51"/>
        <v>0.09560212569809198</v>
      </c>
      <c r="BI25" s="1322">
        <f t="shared" si="51"/>
        <v>0.09751416821205383</v>
      </c>
      <c r="BJ25" s="1322">
        <f t="shared" si="51"/>
        <v>0.09946445157629491</v>
      </c>
      <c r="BK25" s="1324">
        <f t="shared" si="51"/>
        <v>0.10145374060782081</v>
      </c>
      <c r="BL25" s="882"/>
      <c r="BM25" s="1382">
        <v>0.02</v>
      </c>
      <c r="BP25" s="886"/>
      <c r="BQ25" s="886"/>
      <c r="BR25" s="886"/>
      <c r="BS25" s="886"/>
      <c r="BT25" s="886"/>
      <c r="BU25" s="886"/>
      <c r="BV25" s="886"/>
      <c r="BW25" s="886"/>
    </row>
    <row r="26" spans="2:75" s="877" customFormat="1" ht="15.75">
      <c r="B26" s="1501"/>
      <c r="C26" s="1283" t="s">
        <v>490</v>
      </c>
      <c r="D26" s="1320"/>
      <c r="E26" s="1319"/>
      <c r="F26" s="1318"/>
      <c r="G26" s="1319"/>
      <c r="H26" s="1319"/>
      <c r="I26" s="1318"/>
      <c r="J26" s="1319"/>
      <c r="K26" s="1319"/>
      <c r="L26" s="1318"/>
      <c r="M26" s="1319">
        <f>INT(M24*M25)</f>
        <v>10</v>
      </c>
      <c r="N26" s="1319">
        <f aca="true" t="shared" si="52" ref="N26:BK26">INT(N24*N25)</f>
        <v>10</v>
      </c>
      <c r="O26" s="1317">
        <f t="shared" si="52"/>
        <v>10</v>
      </c>
      <c r="P26" s="1316">
        <f t="shared" si="52"/>
        <v>4</v>
      </c>
      <c r="Q26" s="1319">
        <f t="shared" si="52"/>
        <v>4</v>
      </c>
      <c r="R26" s="1318">
        <f t="shared" si="52"/>
        <v>4</v>
      </c>
      <c r="S26" s="1319">
        <f t="shared" si="52"/>
        <v>4</v>
      </c>
      <c r="T26" s="1319">
        <f t="shared" si="52"/>
        <v>4</v>
      </c>
      <c r="U26" s="1318">
        <f t="shared" si="52"/>
        <v>4</v>
      </c>
      <c r="V26" s="1319">
        <f t="shared" si="52"/>
        <v>4</v>
      </c>
      <c r="W26" s="1319">
        <f t="shared" si="52"/>
        <v>4</v>
      </c>
      <c r="X26" s="1318">
        <f t="shared" si="52"/>
        <v>4</v>
      </c>
      <c r="Y26" s="1319">
        <f t="shared" si="52"/>
        <v>4</v>
      </c>
      <c r="Z26" s="1319">
        <f t="shared" si="52"/>
        <v>4</v>
      </c>
      <c r="AA26" s="1317">
        <f t="shared" si="52"/>
        <v>5</v>
      </c>
      <c r="AB26" s="1315">
        <f t="shared" si="52"/>
        <v>7</v>
      </c>
      <c r="AC26" s="1319">
        <f t="shared" si="52"/>
        <v>7</v>
      </c>
      <c r="AD26" s="1318">
        <f t="shared" si="52"/>
        <v>8</v>
      </c>
      <c r="AE26" s="1319">
        <f t="shared" si="52"/>
        <v>8</v>
      </c>
      <c r="AF26" s="1319">
        <f t="shared" si="52"/>
        <v>8</v>
      </c>
      <c r="AG26" s="1318">
        <f t="shared" si="52"/>
        <v>8</v>
      </c>
      <c r="AH26" s="1319">
        <f t="shared" si="52"/>
        <v>8</v>
      </c>
      <c r="AI26" s="1319">
        <f t="shared" si="52"/>
        <v>8</v>
      </c>
      <c r="AJ26" s="1318">
        <f t="shared" si="52"/>
        <v>9</v>
      </c>
      <c r="AK26" s="1319">
        <f t="shared" si="52"/>
        <v>9</v>
      </c>
      <c r="AL26" s="1319">
        <f t="shared" si="52"/>
        <v>9</v>
      </c>
      <c r="AM26" s="1317">
        <f t="shared" si="52"/>
        <v>9</v>
      </c>
      <c r="AN26" s="1315">
        <f t="shared" si="52"/>
        <v>14</v>
      </c>
      <c r="AO26" s="1319">
        <f t="shared" si="52"/>
        <v>15</v>
      </c>
      <c r="AP26" s="1318">
        <f t="shared" si="52"/>
        <v>15</v>
      </c>
      <c r="AQ26" s="1319">
        <f t="shared" si="52"/>
        <v>15</v>
      </c>
      <c r="AR26" s="1319">
        <f t="shared" si="52"/>
        <v>16</v>
      </c>
      <c r="AS26" s="1318">
        <f t="shared" si="52"/>
        <v>16</v>
      </c>
      <c r="AT26" s="1319">
        <f t="shared" si="52"/>
        <v>16</v>
      </c>
      <c r="AU26" s="1319">
        <f t="shared" si="52"/>
        <v>17</v>
      </c>
      <c r="AV26" s="1318">
        <f t="shared" si="52"/>
        <v>17</v>
      </c>
      <c r="AW26" s="1319">
        <f t="shared" si="52"/>
        <v>17</v>
      </c>
      <c r="AX26" s="1319">
        <f t="shared" si="52"/>
        <v>18</v>
      </c>
      <c r="AY26" s="1317">
        <f t="shared" si="52"/>
        <v>18</v>
      </c>
      <c r="AZ26" s="1315">
        <f t="shared" si="52"/>
        <v>28</v>
      </c>
      <c r="BA26" s="1319">
        <f t="shared" si="52"/>
        <v>29</v>
      </c>
      <c r="BB26" s="1318">
        <f t="shared" si="52"/>
        <v>29</v>
      </c>
      <c r="BC26" s="1319">
        <f>INT(BC24*BC25)</f>
        <v>30</v>
      </c>
      <c r="BD26" s="1319">
        <f t="shared" si="52"/>
        <v>31</v>
      </c>
      <c r="BE26" s="1318">
        <f t="shared" si="52"/>
        <v>31</v>
      </c>
      <c r="BF26" s="1319">
        <f t="shared" si="52"/>
        <v>32</v>
      </c>
      <c r="BG26" s="1319">
        <f t="shared" si="52"/>
        <v>33</v>
      </c>
      <c r="BH26" s="1318">
        <f t="shared" si="52"/>
        <v>33</v>
      </c>
      <c r="BI26" s="1319">
        <f t="shared" si="52"/>
        <v>34</v>
      </c>
      <c r="BJ26" s="1319">
        <f t="shared" si="52"/>
        <v>35</v>
      </c>
      <c r="BK26" s="1317">
        <f t="shared" si="52"/>
        <v>35</v>
      </c>
      <c r="BL26" s="882"/>
      <c r="BM26" s="983"/>
      <c r="BP26" s="886"/>
      <c r="BQ26" s="886"/>
      <c r="BR26" s="886"/>
      <c r="BS26" s="886"/>
      <c r="BT26" s="886"/>
      <c r="BU26" s="886"/>
      <c r="BV26" s="886"/>
      <c r="BW26" s="886"/>
    </row>
    <row r="27" spans="2:75" s="1377" customFormat="1" ht="15.75">
      <c r="B27" s="1501"/>
      <c r="C27" s="1283" t="s">
        <v>515</v>
      </c>
      <c r="D27" s="1467"/>
      <c r="E27" s="1468"/>
      <c r="F27" s="1469"/>
      <c r="G27" s="1468"/>
      <c r="H27" s="1468"/>
      <c r="I27" s="1469"/>
      <c r="J27" s="1468"/>
      <c r="K27" s="1468"/>
      <c r="L27" s="1469"/>
      <c r="M27" s="1470">
        <f>((((M24+M26)*Assumptions!$D$62)*Assumptions!$D$63)*Assumptions!$D$60)*(Assumptions!$D$65)</f>
        <v>618.75</v>
      </c>
      <c r="N27" s="1471">
        <f>((((N24+N26)*Assumptions!$D$62)*Assumptions!$D$63)*Assumptions!$D$60)*(Assumptions!$D$65)</f>
        <v>618.75</v>
      </c>
      <c r="O27" s="1472">
        <f>((((O24+O26)*Assumptions!$D$62)*Assumptions!$D$63)*Assumptions!$D$60)*(Assumptions!$D$65)</f>
        <v>618.75</v>
      </c>
      <c r="P27" s="1473">
        <f>((((P24+P26)*Assumptions!$D$62)*Assumptions!$D$63)*Assumptions!$D$60)*(Assumptions!$D$65)</f>
        <v>585</v>
      </c>
      <c r="Q27" s="1471">
        <f>((((Q24+Q26)*Assumptions!$D$62)*Assumptions!$D$63)*Assumptions!$D$60)*(Assumptions!$D$65)</f>
        <v>585</v>
      </c>
      <c r="R27" s="1474">
        <f>((((R24+R26)*Assumptions!$D$62)*Assumptions!$D$63)*Assumptions!$D$60)*(Assumptions!$D$65)</f>
        <v>585</v>
      </c>
      <c r="S27" s="1471">
        <f>((((S24+S26)*Assumptions!$D$62)*Assumptions!$D$63)*Assumptions!$D$60)*(Assumptions!$D$65)</f>
        <v>585</v>
      </c>
      <c r="T27" s="1471">
        <f>((((T24+T26)*Assumptions!$D$62)*Assumptions!$D$63)*Assumptions!$D$60)*(Assumptions!$D$65)</f>
        <v>585</v>
      </c>
      <c r="U27" s="1474">
        <f>((((U24+U26)*Assumptions!$D$62)*Assumptions!$D$63)*Assumptions!$D$60)*(Assumptions!$D$65)</f>
        <v>585</v>
      </c>
      <c r="V27" s="1471">
        <f>((((V24+V26)*Assumptions!$D$62)*Assumptions!$D$63)*Assumptions!$D$60)*(Assumptions!$D$65)</f>
        <v>585</v>
      </c>
      <c r="W27" s="1471">
        <f>((((W24+W26)*Assumptions!$D$62)*Assumptions!$D$63)*Assumptions!$D$60)*(Assumptions!$D$65)</f>
        <v>590.625</v>
      </c>
      <c r="X27" s="1474">
        <f>((((X24+X26)*Assumptions!$D$62)*Assumptions!$D$63)*Assumptions!$D$60)*(Assumptions!$D$65)</f>
        <v>590.625</v>
      </c>
      <c r="Y27" s="1471">
        <f>((((Y24+Y26)*Assumptions!$D$62)*Assumptions!$D$63)*Assumptions!$D$60)*(Assumptions!$D$65)</f>
        <v>590.625</v>
      </c>
      <c r="Z27" s="1471">
        <f>((((Z24+Z26)*Assumptions!$D$62)*Assumptions!$D$63)*Assumptions!$D$60)*(Assumptions!$D$65)</f>
        <v>590.625</v>
      </c>
      <c r="AA27" s="1472">
        <f>((((AA24+AA26)*Assumptions!$D$62)*Assumptions!$D$63)*Assumptions!$D$60)*(Assumptions!$D$65)</f>
        <v>596.25</v>
      </c>
      <c r="AB27" s="1473">
        <f>((((AB24+AB26)*Assumptions!$D$62)*Assumptions!$D$63)*Assumptions!$D$60)*(Assumptions!$D$65)</f>
        <v>894.375</v>
      </c>
      <c r="AC27" s="1471">
        <f>((((AC24+AC26)*Assumptions!$D$62)*Assumptions!$D$63)*Assumptions!$D$60)*(Assumptions!$D$65)</f>
        <v>894.375</v>
      </c>
      <c r="AD27" s="1474">
        <f>((((AD24+AD26)*Assumptions!$D$62)*Assumptions!$D$63)*Assumptions!$D$60)*(Assumptions!$D$65)</f>
        <v>900</v>
      </c>
      <c r="AE27" s="1471">
        <f>((((AE24+AE26)*Assumptions!$D$62)*Assumptions!$D$63)*Assumptions!$D$60)*(Assumptions!$D$65)</f>
        <v>900</v>
      </c>
      <c r="AF27" s="1471">
        <f>((((AF24+AF26)*Assumptions!$D$62)*Assumptions!$D$63)*Assumptions!$D$60)*(Assumptions!$D$65)</f>
        <v>900</v>
      </c>
      <c r="AG27" s="1474">
        <f>((((AG24+AG26)*Assumptions!$D$62)*Assumptions!$D$63)*Assumptions!$D$60)*(Assumptions!$D$65)</f>
        <v>905.625</v>
      </c>
      <c r="AH27" s="1471">
        <f>((((AH24+AH26)*Assumptions!$D$62)*Assumptions!$D$63)*Assumptions!$D$60)*(Assumptions!$D$65)</f>
        <v>905.625</v>
      </c>
      <c r="AI27" s="1471">
        <f>((((AI24+AI26)*Assumptions!$D$62)*Assumptions!$D$63)*Assumptions!$D$60)*(Assumptions!$D$65)</f>
        <v>905.625</v>
      </c>
      <c r="AJ27" s="1474">
        <f>((((AJ24+AJ26)*Assumptions!$D$62)*Assumptions!$D$63)*Assumptions!$D$60)*(Assumptions!$D$65)</f>
        <v>911.25</v>
      </c>
      <c r="AK27" s="1471">
        <f>((((AK24+AK26)*Assumptions!$D$62)*Assumptions!$D$63)*Assumptions!$D$60)*(Assumptions!$D$65)</f>
        <v>911.25</v>
      </c>
      <c r="AL27" s="1471">
        <f>((((AL24+AL26)*Assumptions!$D$62)*Assumptions!$D$63)*Assumptions!$D$60)*(Assumptions!$D$65)</f>
        <v>911.25</v>
      </c>
      <c r="AM27" s="1472">
        <f>((((AM24+AM26)*Assumptions!$D$62)*Assumptions!$D$63)*Assumptions!$D$60)*(Assumptions!$D$65)</f>
        <v>911.25</v>
      </c>
      <c r="AN27" s="1473">
        <f>((((AN24+AN26)*Assumptions!$D$62)*Assumptions!$D$63)*Assumptions!$D$60)*(Assumptions!$D$65)</f>
        <v>1378.125</v>
      </c>
      <c r="AO27" s="1471">
        <f>((((AO24+AO26)*Assumptions!$D$62)*Assumptions!$D$63)*Assumptions!$D$60)*(Assumptions!$D$65)</f>
        <v>1383.75</v>
      </c>
      <c r="AP27" s="1474">
        <f>((((AP24+AP26)*Assumptions!$D$62)*Assumptions!$D$63)*Assumptions!$D$60)*(Assumptions!$D$65)</f>
        <v>1383.75</v>
      </c>
      <c r="AQ27" s="1471">
        <f>((((AQ24+AQ26)*Assumptions!$D$62)*Assumptions!$D$63)*Assumptions!$D$60)*(Assumptions!$D$65)</f>
        <v>1383.75</v>
      </c>
      <c r="AR27" s="1471">
        <f>((((AR24+AR26)*Assumptions!$D$62)*Assumptions!$D$63)*Assumptions!$D$60)*(Assumptions!$D$65)</f>
        <v>1395</v>
      </c>
      <c r="AS27" s="1474">
        <f>((((AS24+AS26)*Assumptions!$D$62)*Assumptions!$D$63)*Assumptions!$D$60)*(Assumptions!$D$65)</f>
        <v>1395</v>
      </c>
      <c r="AT27" s="1471">
        <f>((((AT24+AT26)*Assumptions!$D$62)*Assumptions!$D$63)*Assumptions!$D$60)*(Assumptions!$D$65)</f>
        <v>1395</v>
      </c>
      <c r="AU27" s="1471">
        <f>((((AU24+AU26)*Assumptions!$D$62)*Assumptions!$D$63)*Assumptions!$D$60)*(Assumptions!$D$65)</f>
        <v>1400.625</v>
      </c>
      <c r="AV27" s="1474">
        <f>((((AV24+AV26)*Assumptions!$D$62)*Assumptions!$D$63)*Assumptions!$D$60)*(Assumptions!$D$65)</f>
        <v>1406.25</v>
      </c>
      <c r="AW27" s="1471">
        <f>((((AW24+AW26)*Assumptions!$D$62)*Assumptions!$D$63)*Assumptions!$D$60)*(Assumptions!$D$65)</f>
        <v>1406.25</v>
      </c>
      <c r="AX27" s="1471">
        <f>((((AX24+AX26)*Assumptions!$D$62)*Assumptions!$D$63)*Assumptions!$D$60)*(Assumptions!$D$65)</f>
        <v>1411.875</v>
      </c>
      <c r="AY27" s="1472">
        <f>((((AY24+AY26)*Assumptions!$D$62)*Assumptions!$D$63)*Assumptions!$D$60)*(Assumptions!$D$65)</f>
        <v>1411.875</v>
      </c>
      <c r="AZ27" s="1473">
        <f>((((AZ24+AZ26)*Assumptions!$D$62)*Assumptions!$D$63)*Assumptions!$D$60)*(Assumptions!$D$65)</f>
        <v>2126.25</v>
      </c>
      <c r="BA27" s="1471">
        <f>((((BA24+BA26)*Assumptions!$D$62)*Assumptions!$D$63)*Assumptions!$D$60)*(Assumptions!$D$65)</f>
        <v>2137.5</v>
      </c>
      <c r="BB27" s="1474">
        <f>((((BB24+BB26)*Assumptions!$D$62)*Assumptions!$D$63)*Assumptions!$D$60)*(Assumptions!$D$65)</f>
        <v>2137.5</v>
      </c>
      <c r="BC27" s="1471">
        <f>((((BC24+BC26)*Assumptions!$D$62)*Assumptions!$D$63)*Assumptions!$D$60)*(Assumptions!$D$65)</f>
        <v>2143.125</v>
      </c>
      <c r="BD27" s="1471">
        <f>((((BD24+BD26)*Assumptions!$D$62)*Assumptions!$D$63)*Assumptions!$D$60)*(Assumptions!$D$65)</f>
        <v>2154.375</v>
      </c>
      <c r="BE27" s="1474">
        <f>((((BE24+BE26)*Assumptions!$D$62)*Assumptions!$D$63)*Assumptions!$D$60)*(Assumptions!$D$65)</f>
        <v>2154.375</v>
      </c>
      <c r="BF27" s="1471">
        <f>((((BF24+BF26)*Assumptions!$D$62)*Assumptions!$D$63)*Assumptions!$D$60)*(Assumptions!$D$65)</f>
        <v>2165.625</v>
      </c>
      <c r="BG27" s="1471">
        <f>((((BG24+BG26)*Assumptions!$D$62)*Assumptions!$D$63)*Assumptions!$D$60)*(Assumptions!$D$65)</f>
        <v>2171.25</v>
      </c>
      <c r="BH27" s="1474">
        <f>((((BH24+BH26)*Assumptions!$D$62)*Assumptions!$D$63)*Assumptions!$D$60)*(Assumptions!$D$65)</f>
        <v>2171.25</v>
      </c>
      <c r="BI27" s="1471">
        <f>((((BI24+BI26)*Assumptions!$D$62)*Assumptions!$D$63)*Assumptions!$D$60)*(Assumptions!$D$65)</f>
        <v>2182.5</v>
      </c>
      <c r="BJ27" s="1471">
        <f>((((BJ24+BJ26)*Assumptions!$D$62)*Assumptions!$D$63)*Assumptions!$D$60)*(Assumptions!$D$65)</f>
        <v>2188.125</v>
      </c>
      <c r="BK27" s="1472">
        <f>((((BK24+BK26)*Assumptions!$D$62)*Assumptions!$D$63)*Assumptions!$D$60)*(Assumptions!$D$65)</f>
        <v>2188.125</v>
      </c>
      <c r="BL27" s="1378"/>
      <c r="BM27" s="1383"/>
      <c r="BP27" s="1379"/>
      <c r="BQ27" s="1379"/>
      <c r="BR27" s="1379"/>
      <c r="BS27" s="1379"/>
      <c r="BT27" s="1379"/>
      <c r="BU27" s="1379"/>
      <c r="BV27" s="1379"/>
      <c r="BW27" s="1379"/>
    </row>
    <row r="28" spans="2:75" s="1377" customFormat="1" ht="15.75">
      <c r="B28" s="1501"/>
      <c r="C28" s="1283" t="s">
        <v>516</v>
      </c>
      <c r="D28" s="1467"/>
      <c r="E28" s="1468"/>
      <c r="F28" s="1469"/>
      <c r="G28" s="1468"/>
      <c r="H28" s="1468"/>
      <c r="I28" s="1469"/>
      <c r="J28" s="1468"/>
      <c r="K28" s="1468"/>
      <c r="L28" s="1469"/>
      <c r="M28" s="1470">
        <f>+((((M24+M26)*Assumptions!$D$62)*Assumptions!$D$64)*Assumptions!$D$61)*Assumptions!$D$66</f>
        <v>550</v>
      </c>
      <c r="N28" s="1471">
        <f>+((((N24+N26)*Assumptions!$D$62)*Assumptions!$D$64)*Assumptions!$D$61)*Assumptions!$D$66</f>
        <v>550</v>
      </c>
      <c r="O28" s="1472">
        <f>+((((O24+O26)*Assumptions!$D$62)*Assumptions!$D$64)*Assumptions!$D$61)*Assumptions!$D$66</f>
        <v>550</v>
      </c>
      <c r="P28" s="1473">
        <f>+((((P24+P26)*Assumptions!$D$62)*Assumptions!$D$64)*Assumptions!$D$61)*Assumptions!$D$66</f>
        <v>520</v>
      </c>
      <c r="Q28" s="1471">
        <f>+((((Q24+Q26)*Assumptions!$D$62)*Assumptions!$D$64)*Assumptions!$D$61)*Assumptions!$D$66</f>
        <v>520</v>
      </c>
      <c r="R28" s="1474">
        <f>+((((R24+R26)*Assumptions!$D$62)*Assumptions!$D$64)*Assumptions!$D$61)*Assumptions!$D$66</f>
        <v>520</v>
      </c>
      <c r="S28" s="1471">
        <f>+((((S24+S26)*Assumptions!$D$62)*Assumptions!$D$64)*Assumptions!$D$61)*Assumptions!$D$66</f>
        <v>520</v>
      </c>
      <c r="T28" s="1471">
        <f>+((((T24+T26)*Assumptions!$D$62)*Assumptions!$D$64)*Assumptions!$D$61)*Assumptions!$D$66</f>
        <v>520</v>
      </c>
      <c r="U28" s="1474">
        <f>+((((U24+U26)*Assumptions!$D$62)*Assumptions!$D$64)*Assumptions!$D$61)*Assumptions!$D$66</f>
        <v>520</v>
      </c>
      <c r="V28" s="1471">
        <f>+((((V24+V26)*Assumptions!$D$62)*Assumptions!$D$64)*Assumptions!$D$61)*Assumptions!$D$66</f>
        <v>520</v>
      </c>
      <c r="W28" s="1471">
        <f>+((((W24+W26)*Assumptions!$D$62)*Assumptions!$D$64)*Assumptions!$D$61)*Assumptions!$D$66</f>
        <v>525</v>
      </c>
      <c r="X28" s="1474">
        <f>+((((X24+X26)*Assumptions!$D$62)*Assumptions!$D$64)*Assumptions!$D$61)*Assumptions!$D$66</f>
        <v>525</v>
      </c>
      <c r="Y28" s="1471">
        <f>+((((Y24+Y26)*Assumptions!$D$62)*Assumptions!$D$64)*Assumptions!$D$61)*Assumptions!$D$66</f>
        <v>525</v>
      </c>
      <c r="Z28" s="1471">
        <f>+((((Z24+Z26)*Assumptions!$D$62)*Assumptions!$D$64)*Assumptions!$D$61)*Assumptions!$D$66</f>
        <v>525</v>
      </c>
      <c r="AA28" s="1472">
        <f>+((((AA24+AA26)*Assumptions!$D$62)*Assumptions!$D$64)*Assumptions!$D$61)*Assumptions!$D$66</f>
        <v>530</v>
      </c>
      <c r="AB28" s="1473">
        <f>+((((AB24+AB26)*Assumptions!$D$62)*Assumptions!$D$64)*Assumptions!$D$61)*Assumptions!$D$66</f>
        <v>795</v>
      </c>
      <c r="AC28" s="1471">
        <f>+((((AC24+AC26)*Assumptions!$D$62)*Assumptions!$D$64)*Assumptions!$D$61)*Assumptions!$D$66</f>
        <v>795</v>
      </c>
      <c r="AD28" s="1474">
        <f>+((((AD24+AD26)*Assumptions!$D$62)*Assumptions!$D$64)*Assumptions!$D$61)*Assumptions!$D$66</f>
        <v>800</v>
      </c>
      <c r="AE28" s="1471">
        <f>+((((AE24+AE26)*Assumptions!$D$62)*Assumptions!$D$64)*Assumptions!$D$61)*Assumptions!$D$66</f>
        <v>800</v>
      </c>
      <c r="AF28" s="1471">
        <f>+((((AF24+AF26)*Assumptions!$D$62)*Assumptions!$D$64)*Assumptions!$D$61)*Assumptions!$D$66</f>
        <v>800</v>
      </c>
      <c r="AG28" s="1474">
        <f>+((((AG24+AG26)*Assumptions!$D$62)*Assumptions!$D$64)*Assumptions!$D$61)*Assumptions!$D$66</f>
        <v>805</v>
      </c>
      <c r="AH28" s="1471">
        <f>+((((AH24+AH26)*Assumptions!$D$62)*Assumptions!$D$64)*Assumptions!$D$61)*Assumptions!$D$66</f>
        <v>805</v>
      </c>
      <c r="AI28" s="1471">
        <f>+((((AI24+AI26)*Assumptions!$D$62)*Assumptions!$D$64)*Assumptions!$D$61)*Assumptions!$D$66</f>
        <v>805</v>
      </c>
      <c r="AJ28" s="1474">
        <f>+((((AJ24+AJ26)*Assumptions!$D$62)*Assumptions!$D$64)*Assumptions!$D$61)*Assumptions!$D$66</f>
        <v>810</v>
      </c>
      <c r="AK28" s="1471">
        <f>+((((AK24+AK26)*Assumptions!$D$62)*Assumptions!$D$64)*Assumptions!$D$61)*Assumptions!$D$66</f>
        <v>810</v>
      </c>
      <c r="AL28" s="1471">
        <f>+((((AL24+AL26)*Assumptions!$D$62)*Assumptions!$D$64)*Assumptions!$D$61)*Assumptions!$D$66</f>
        <v>810</v>
      </c>
      <c r="AM28" s="1472">
        <f>+((((AM24+AM26)*Assumptions!$D$62)*Assumptions!$D$64)*Assumptions!$D$61)*Assumptions!$D$66</f>
        <v>810</v>
      </c>
      <c r="AN28" s="1473">
        <f>+((((AN24+AN26)*Assumptions!$D$62)*Assumptions!$D$64)*Assumptions!$D$61)*Assumptions!$D$66</f>
        <v>1225</v>
      </c>
      <c r="AO28" s="1471">
        <f>+((((AO24+AO26)*Assumptions!$D$62)*Assumptions!$D$64)*Assumptions!$D$61)*Assumptions!$D$66</f>
        <v>1230</v>
      </c>
      <c r="AP28" s="1474">
        <f>+((((AP24+AP26)*Assumptions!$D$62)*Assumptions!$D$64)*Assumptions!$D$61)*Assumptions!$D$66</f>
        <v>1230</v>
      </c>
      <c r="AQ28" s="1471">
        <f>+((((AQ24+AQ26)*Assumptions!$D$62)*Assumptions!$D$64)*Assumptions!$D$61)*Assumptions!$D$66</f>
        <v>1230</v>
      </c>
      <c r="AR28" s="1471">
        <f>+((((AR24+AR26)*Assumptions!$D$62)*Assumptions!$D$64)*Assumptions!$D$61)*Assumptions!$D$66</f>
        <v>1240</v>
      </c>
      <c r="AS28" s="1474">
        <f>+((((AS24+AS26)*Assumptions!$D$62)*Assumptions!$D$64)*Assumptions!$D$61)*Assumptions!$D$66</f>
        <v>1240</v>
      </c>
      <c r="AT28" s="1471">
        <f>+((((AT24+AT26)*Assumptions!$D$62)*Assumptions!$D$64)*Assumptions!$D$61)*Assumptions!$D$66</f>
        <v>1240</v>
      </c>
      <c r="AU28" s="1471">
        <f>+((((AU24+AU26)*Assumptions!$D$62)*Assumptions!$D$64)*Assumptions!$D$61)*Assumptions!$D$66</f>
        <v>1245</v>
      </c>
      <c r="AV28" s="1474">
        <f>+((((AV24+AV26)*Assumptions!$D$62)*Assumptions!$D$64)*Assumptions!$D$61)*Assumptions!$D$66</f>
        <v>1250</v>
      </c>
      <c r="AW28" s="1471">
        <f>+((((AW24+AW26)*Assumptions!$D$62)*Assumptions!$D$64)*Assumptions!$D$61)*Assumptions!$D$66</f>
        <v>1250</v>
      </c>
      <c r="AX28" s="1471">
        <f>+((((AX24+AX26)*Assumptions!$D$62)*Assumptions!$D$64)*Assumptions!$D$61)*Assumptions!$D$66</f>
        <v>1255</v>
      </c>
      <c r="AY28" s="1472">
        <f>+((((AY24+AY26)*Assumptions!$D$62)*Assumptions!$D$64)*Assumptions!$D$61)*Assumptions!$D$66</f>
        <v>1255</v>
      </c>
      <c r="AZ28" s="1473">
        <f>+((((AZ24+AZ26)*Assumptions!$D$62)*Assumptions!$D$64)*Assumptions!$D$61)*Assumptions!$D$66</f>
        <v>1890</v>
      </c>
      <c r="BA28" s="1471">
        <f>+((((BA24+BA26)*Assumptions!$D$62)*Assumptions!$D$64)*Assumptions!$D$61)*Assumptions!$D$66</f>
        <v>1900</v>
      </c>
      <c r="BB28" s="1474">
        <f>+((((BB24+BB26)*Assumptions!$D$62)*Assumptions!$D$64)*Assumptions!$D$61)*Assumptions!$D$66</f>
        <v>1900</v>
      </c>
      <c r="BC28" s="1471">
        <f>+((((BC24+BC26)*Assumptions!$D$62)*Assumptions!$D$64)*Assumptions!$D$61)*Assumptions!$D$66</f>
        <v>1905</v>
      </c>
      <c r="BD28" s="1471">
        <f>+((((BD24+BD26)*Assumptions!$D$62)*Assumptions!$D$64)*Assumptions!$D$61)*Assumptions!$D$66</f>
        <v>1915</v>
      </c>
      <c r="BE28" s="1474">
        <f>+((((BE24+BE26)*Assumptions!$D$62)*Assumptions!$D$64)*Assumptions!$D$61)*Assumptions!$D$66</f>
        <v>1915</v>
      </c>
      <c r="BF28" s="1471">
        <f>+((((BF24+BF26)*Assumptions!$D$62)*Assumptions!$D$64)*Assumptions!$D$61)*Assumptions!$D$66</f>
        <v>1925</v>
      </c>
      <c r="BG28" s="1471">
        <f>+((((BG24+BG26)*Assumptions!$D$62)*Assumptions!$D$64)*Assumptions!$D$61)*Assumptions!$D$66</f>
        <v>1930</v>
      </c>
      <c r="BH28" s="1474">
        <f>+((((BH24+BH26)*Assumptions!$D$62)*Assumptions!$D$64)*Assumptions!$D$61)*Assumptions!$D$66</f>
        <v>1930</v>
      </c>
      <c r="BI28" s="1471">
        <f>+((((BI24+BI26)*Assumptions!$D$62)*Assumptions!$D$64)*Assumptions!$D$61)*Assumptions!$D$66</f>
        <v>1940</v>
      </c>
      <c r="BJ28" s="1471">
        <f>+((((BJ24+BJ26)*Assumptions!$D$62)*Assumptions!$D$64)*Assumptions!$D$61)*Assumptions!$D$66</f>
        <v>1945</v>
      </c>
      <c r="BK28" s="1472">
        <f>+((((BK24+BK26)*Assumptions!$D$62)*Assumptions!$D$64)*Assumptions!$D$61)*Assumptions!$D$66</f>
        <v>1945</v>
      </c>
      <c r="BL28" s="1378"/>
      <c r="BM28" s="1383"/>
      <c r="BP28" s="1379"/>
      <c r="BQ28" s="1379"/>
      <c r="BR28" s="1379"/>
      <c r="BS28" s="1379"/>
      <c r="BT28" s="1379"/>
      <c r="BU28" s="1379"/>
      <c r="BV28" s="1379"/>
      <c r="BW28" s="1379"/>
    </row>
    <row r="29" spans="2:75" ht="15.75">
      <c r="B29" s="1501"/>
      <c r="C29" s="1282" t="s">
        <v>504</v>
      </c>
      <c r="D29" s="1300"/>
      <c r="E29" s="1299"/>
      <c r="F29" s="1298"/>
      <c r="G29" s="1299"/>
      <c r="H29" s="1299"/>
      <c r="I29" s="1298"/>
      <c r="J29" s="1299"/>
      <c r="K29" s="1299"/>
      <c r="L29" s="1298"/>
      <c r="M29" s="1299">
        <f>+M27+M28</f>
        <v>1168.75</v>
      </c>
      <c r="N29" s="1299">
        <f aca="true" t="shared" si="53" ref="N29:BK29">+N27+N28</f>
        <v>1168.75</v>
      </c>
      <c r="O29" s="1297">
        <f t="shared" si="53"/>
        <v>1168.75</v>
      </c>
      <c r="P29" s="1300">
        <f>+P27+P28</f>
        <v>1105</v>
      </c>
      <c r="Q29" s="1299">
        <f t="shared" si="53"/>
        <v>1105</v>
      </c>
      <c r="R29" s="1298">
        <f t="shared" si="53"/>
        <v>1105</v>
      </c>
      <c r="S29" s="1299">
        <f t="shared" si="53"/>
        <v>1105</v>
      </c>
      <c r="T29" s="1299">
        <f t="shared" si="53"/>
        <v>1105</v>
      </c>
      <c r="U29" s="1298">
        <f t="shared" si="53"/>
        <v>1105</v>
      </c>
      <c r="V29" s="1299">
        <f t="shared" si="53"/>
        <v>1105</v>
      </c>
      <c r="W29" s="1299">
        <f t="shared" si="53"/>
        <v>1115.625</v>
      </c>
      <c r="X29" s="1298">
        <f t="shared" si="53"/>
        <v>1115.625</v>
      </c>
      <c r="Y29" s="1299">
        <f t="shared" si="53"/>
        <v>1115.625</v>
      </c>
      <c r="Z29" s="1299">
        <f t="shared" si="53"/>
        <v>1115.625</v>
      </c>
      <c r="AA29" s="1297">
        <f t="shared" si="53"/>
        <v>1126.25</v>
      </c>
      <c r="AB29" s="1300">
        <f t="shared" si="53"/>
        <v>1689.375</v>
      </c>
      <c r="AC29" s="1299">
        <f t="shared" si="53"/>
        <v>1689.375</v>
      </c>
      <c r="AD29" s="1298">
        <f t="shared" si="53"/>
        <v>1700</v>
      </c>
      <c r="AE29" s="1299">
        <f t="shared" si="53"/>
        <v>1700</v>
      </c>
      <c r="AF29" s="1299">
        <f t="shared" si="53"/>
        <v>1700</v>
      </c>
      <c r="AG29" s="1298">
        <f t="shared" si="53"/>
        <v>1710.625</v>
      </c>
      <c r="AH29" s="1299">
        <f t="shared" si="53"/>
        <v>1710.625</v>
      </c>
      <c r="AI29" s="1299">
        <f t="shared" si="53"/>
        <v>1710.625</v>
      </c>
      <c r="AJ29" s="1298">
        <f t="shared" si="53"/>
        <v>1721.25</v>
      </c>
      <c r="AK29" s="1299">
        <f t="shared" si="53"/>
        <v>1721.25</v>
      </c>
      <c r="AL29" s="1299">
        <f t="shared" si="53"/>
        <v>1721.25</v>
      </c>
      <c r="AM29" s="1297">
        <f t="shared" si="53"/>
        <v>1721.25</v>
      </c>
      <c r="AN29" s="1300">
        <f t="shared" si="53"/>
        <v>2603.125</v>
      </c>
      <c r="AO29" s="1299">
        <f t="shared" si="53"/>
        <v>2613.75</v>
      </c>
      <c r="AP29" s="1298">
        <f t="shared" si="53"/>
        <v>2613.75</v>
      </c>
      <c r="AQ29" s="1299">
        <f t="shared" si="53"/>
        <v>2613.75</v>
      </c>
      <c r="AR29" s="1299">
        <f t="shared" si="53"/>
        <v>2635</v>
      </c>
      <c r="AS29" s="1298">
        <f t="shared" si="53"/>
        <v>2635</v>
      </c>
      <c r="AT29" s="1299">
        <f t="shared" si="53"/>
        <v>2635</v>
      </c>
      <c r="AU29" s="1299">
        <f t="shared" si="53"/>
        <v>2645.625</v>
      </c>
      <c r="AV29" s="1298">
        <f t="shared" si="53"/>
        <v>2656.25</v>
      </c>
      <c r="AW29" s="1299">
        <f t="shared" si="53"/>
        <v>2656.25</v>
      </c>
      <c r="AX29" s="1299">
        <f t="shared" si="53"/>
        <v>2666.875</v>
      </c>
      <c r="AY29" s="1297">
        <f t="shared" si="53"/>
        <v>2666.875</v>
      </c>
      <c r="AZ29" s="1300">
        <f t="shared" si="53"/>
        <v>4016.25</v>
      </c>
      <c r="BA29" s="1299">
        <f t="shared" si="53"/>
        <v>4037.5</v>
      </c>
      <c r="BB29" s="1298">
        <f t="shared" si="53"/>
        <v>4037.5</v>
      </c>
      <c r="BC29" s="1299">
        <f t="shared" si="53"/>
        <v>4048.125</v>
      </c>
      <c r="BD29" s="1299">
        <f t="shared" si="53"/>
        <v>4069.375</v>
      </c>
      <c r="BE29" s="1298">
        <f t="shared" si="53"/>
        <v>4069.375</v>
      </c>
      <c r="BF29" s="1299">
        <f t="shared" si="53"/>
        <v>4090.625</v>
      </c>
      <c r="BG29" s="1299">
        <f t="shared" si="53"/>
        <v>4101.25</v>
      </c>
      <c r="BH29" s="1298">
        <f t="shared" si="53"/>
        <v>4101.25</v>
      </c>
      <c r="BI29" s="1299">
        <f t="shared" si="53"/>
        <v>4122.5</v>
      </c>
      <c r="BJ29" s="1299">
        <f t="shared" si="53"/>
        <v>4133.125</v>
      </c>
      <c r="BK29" s="1297">
        <f t="shared" si="53"/>
        <v>4133.125</v>
      </c>
      <c r="BL29" s="883"/>
      <c r="BM29" s="982"/>
      <c r="BN29" s="218"/>
      <c r="BP29" s="91"/>
      <c r="BQ29" s="91"/>
      <c r="BR29" s="91"/>
      <c r="BS29" s="91"/>
      <c r="BT29" s="91"/>
      <c r="BU29" s="91"/>
      <c r="BV29" s="91"/>
      <c r="BW29" s="91"/>
    </row>
    <row r="30" spans="2:75" ht="15.75">
      <c r="B30" s="1501"/>
      <c r="C30" s="1283" t="s">
        <v>507</v>
      </c>
      <c r="D30" s="997"/>
      <c r="E30" s="998"/>
      <c r="F30" s="999"/>
      <c r="G30" s="998"/>
      <c r="H30" s="998"/>
      <c r="I30" s="999"/>
      <c r="J30" s="998"/>
      <c r="K30" s="998"/>
      <c r="L30" s="999"/>
      <c r="M30" s="998">
        <f>+(Assumptions!$D$67+Assumptions!$D$68)*('Revenue Funnel'!M24+'Revenue Funnel'!M26)</f>
        <v>660</v>
      </c>
      <c r="N30" s="998">
        <f>+(Assumptions!$D$67+Assumptions!$D$68)*('Revenue Funnel'!N24+'Revenue Funnel'!N26)</f>
        <v>660</v>
      </c>
      <c r="O30" s="1000">
        <f>+(Assumptions!$D$67+Assumptions!$D$68)*('Revenue Funnel'!O24+'Revenue Funnel'!O26)</f>
        <v>660</v>
      </c>
      <c r="P30" s="997">
        <f>+(Assumptions!$D$67+Assumptions!$D$68)*('Revenue Funnel'!P24+'Revenue Funnel'!P26)</f>
        <v>624</v>
      </c>
      <c r="Q30" s="998">
        <f>+(Assumptions!$D$67+Assumptions!$D$68)*('Revenue Funnel'!Q24+'Revenue Funnel'!Q26)</f>
        <v>624</v>
      </c>
      <c r="R30" s="999">
        <f>+(Assumptions!$D$67+Assumptions!$D$68)*('Revenue Funnel'!R24+'Revenue Funnel'!R26)</f>
        <v>624</v>
      </c>
      <c r="S30" s="998">
        <f>+(Assumptions!$D$67+Assumptions!$D$68)*('Revenue Funnel'!S24+'Revenue Funnel'!S26)</f>
        <v>624</v>
      </c>
      <c r="T30" s="998">
        <f>+(Assumptions!$D$67+Assumptions!$D$68)*('Revenue Funnel'!T24+'Revenue Funnel'!T26)</f>
        <v>624</v>
      </c>
      <c r="U30" s="999">
        <f>+(Assumptions!$D$67+Assumptions!$D$68)*('Revenue Funnel'!U24+'Revenue Funnel'!U26)</f>
        <v>624</v>
      </c>
      <c r="V30" s="998">
        <f>+(Assumptions!$D$67+Assumptions!$D$68)*('Revenue Funnel'!V24+'Revenue Funnel'!V26)</f>
        <v>624</v>
      </c>
      <c r="W30" s="998">
        <f>+(Assumptions!$D$67+Assumptions!$D$68)*('Revenue Funnel'!W24+'Revenue Funnel'!W26)</f>
        <v>630</v>
      </c>
      <c r="X30" s="999">
        <f>+(Assumptions!$D$67+Assumptions!$D$68)*('Revenue Funnel'!X24+'Revenue Funnel'!X26)</f>
        <v>630</v>
      </c>
      <c r="Y30" s="998">
        <f>+(Assumptions!$D$67+Assumptions!$D$68)*('Revenue Funnel'!Y24+'Revenue Funnel'!Y26)</f>
        <v>630</v>
      </c>
      <c r="Z30" s="998">
        <f>+(Assumptions!$D$67+Assumptions!$D$68)*('Revenue Funnel'!Z24+'Revenue Funnel'!Z26)</f>
        <v>630</v>
      </c>
      <c r="AA30" s="1000">
        <f>+(Assumptions!$D$67+Assumptions!$D$68)*('Revenue Funnel'!AA24+'Revenue Funnel'!AA26)</f>
        <v>636</v>
      </c>
      <c r="AB30" s="997">
        <f>+(Assumptions!$D$67+Assumptions!$D$68)*('Revenue Funnel'!AB24+'Revenue Funnel'!AB26)</f>
        <v>954</v>
      </c>
      <c r="AC30" s="998">
        <f>+(Assumptions!$D$67+Assumptions!$D$68)*('Revenue Funnel'!AC24+'Revenue Funnel'!AC26)</f>
        <v>954</v>
      </c>
      <c r="AD30" s="999">
        <f>+(Assumptions!$D$67+Assumptions!$D$68)*('Revenue Funnel'!AD24+'Revenue Funnel'!AD26)</f>
        <v>960</v>
      </c>
      <c r="AE30" s="998">
        <f>+(Assumptions!$D$67+Assumptions!$D$68)*('Revenue Funnel'!AE24+'Revenue Funnel'!AE26)</f>
        <v>960</v>
      </c>
      <c r="AF30" s="998">
        <f>+(Assumptions!$D$67+Assumptions!$D$68)*('Revenue Funnel'!AF24+'Revenue Funnel'!AF26)</f>
        <v>960</v>
      </c>
      <c r="AG30" s="999">
        <f>+(Assumptions!$D$67+Assumptions!$D$68)*('Revenue Funnel'!AG24+'Revenue Funnel'!AG26)</f>
        <v>966</v>
      </c>
      <c r="AH30" s="998">
        <f>+(Assumptions!$D$67+Assumptions!$D$68)*('Revenue Funnel'!AH24+'Revenue Funnel'!AH26)</f>
        <v>966</v>
      </c>
      <c r="AI30" s="998">
        <f>+(Assumptions!$D$67+Assumptions!$D$68)*('Revenue Funnel'!AI24+'Revenue Funnel'!AI26)</f>
        <v>966</v>
      </c>
      <c r="AJ30" s="999">
        <f>+(Assumptions!$D$67+Assumptions!$D$68)*('Revenue Funnel'!AJ24+'Revenue Funnel'!AJ26)</f>
        <v>972</v>
      </c>
      <c r="AK30" s="998">
        <f>+(Assumptions!$D$67+Assumptions!$D$68)*('Revenue Funnel'!AK24+'Revenue Funnel'!AK26)</f>
        <v>972</v>
      </c>
      <c r="AL30" s="998">
        <f>+(Assumptions!$D$67+Assumptions!$D$68)*('Revenue Funnel'!AL24+'Revenue Funnel'!AL26)</f>
        <v>972</v>
      </c>
      <c r="AM30" s="1000">
        <f>+(Assumptions!$D$67+Assumptions!$D$68)*('Revenue Funnel'!AM24+'Revenue Funnel'!AM26)</f>
        <v>972</v>
      </c>
      <c r="AN30" s="997">
        <f>+(Assumptions!$D$67+Assumptions!$D$68)*('Revenue Funnel'!AN24+'Revenue Funnel'!AN26)</f>
        <v>1470</v>
      </c>
      <c r="AO30" s="998">
        <f>+(Assumptions!$D$67+Assumptions!$D$68)*('Revenue Funnel'!AO24+'Revenue Funnel'!AO26)</f>
        <v>1476</v>
      </c>
      <c r="AP30" s="999">
        <f>+(Assumptions!$D$67+Assumptions!$D$68)*('Revenue Funnel'!AP24+'Revenue Funnel'!AP26)</f>
        <v>1476</v>
      </c>
      <c r="AQ30" s="998">
        <f>+(Assumptions!$D$67+Assumptions!$D$68)*('Revenue Funnel'!AQ24+'Revenue Funnel'!AQ26)</f>
        <v>1476</v>
      </c>
      <c r="AR30" s="998">
        <f>+(Assumptions!$D$67+Assumptions!$D$68)*('Revenue Funnel'!AR24+'Revenue Funnel'!AR26)</f>
        <v>1488</v>
      </c>
      <c r="AS30" s="999">
        <f>+(Assumptions!$D$67+Assumptions!$D$68)*('Revenue Funnel'!AS24+'Revenue Funnel'!AS26)</f>
        <v>1488</v>
      </c>
      <c r="AT30" s="998">
        <f>+(Assumptions!$D$67+Assumptions!$D$68)*('Revenue Funnel'!AT24+'Revenue Funnel'!AT26)</f>
        <v>1488</v>
      </c>
      <c r="AU30" s="998">
        <f>+(Assumptions!$D$67+Assumptions!$D$68)*('Revenue Funnel'!AU24+'Revenue Funnel'!AU26)</f>
        <v>1494</v>
      </c>
      <c r="AV30" s="999">
        <f>+(Assumptions!$D$67+Assumptions!$D$68)*('Revenue Funnel'!AV24+'Revenue Funnel'!AV26)</f>
        <v>1500</v>
      </c>
      <c r="AW30" s="998">
        <f>+(Assumptions!$D$67+Assumptions!$D$68)*('Revenue Funnel'!AW24+'Revenue Funnel'!AW26)</f>
        <v>1500</v>
      </c>
      <c r="AX30" s="998">
        <f>+(Assumptions!$D$67+Assumptions!$D$68)*('Revenue Funnel'!AX24+'Revenue Funnel'!AX26)</f>
        <v>1506</v>
      </c>
      <c r="AY30" s="1000">
        <f>+(Assumptions!$D$67+Assumptions!$D$68)*('Revenue Funnel'!AY24+'Revenue Funnel'!AY26)</f>
        <v>1506</v>
      </c>
      <c r="AZ30" s="997">
        <f>+(Assumptions!$D$67+Assumptions!$D$68)*('Revenue Funnel'!AZ24+'Revenue Funnel'!AZ26)</f>
        <v>2268</v>
      </c>
      <c r="BA30" s="998">
        <f>+(Assumptions!$D$67+Assumptions!$D$68)*('Revenue Funnel'!BA24+'Revenue Funnel'!BA26)</f>
        <v>2280</v>
      </c>
      <c r="BB30" s="999">
        <f>+(Assumptions!$D$67+Assumptions!$D$68)*('Revenue Funnel'!BB24+'Revenue Funnel'!BB26)</f>
        <v>2280</v>
      </c>
      <c r="BC30" s="998">
        <f>+(Assumptions!$D$67+Assumptions!$D$68)*('Revenue Funnel'!BC24+'Revenue Funnel'!BC26)</f>
        <v>2286</v>
      </c>
      <c r="BD30" s="998">
        <f>+(Assumptions!$D$67+Assumptions!$D$68)*('Revenue Funnel'!BD24+'Revenue Funnel'!BD26)</f>
        <v>2298</v>
      </c>
      <c r="BE30" s="999">
        <f>+(Assumptions!$D$67+Assumptions!$D$68)*('Revenue Funnel'!BE24+'Revenue Funnel'!BE26)</f>
        <v>2298</v>
      </c>
      <c r="BF30" s="998">
        <f>+(Assumptions!$D$67+Assumptions!$D$68)*('Revenue Funnel'!BF24+'Revenue Funnel'!BF26)</f>
        <v>2310</v>
      </c>
      <c r="BG30" s="998">
        <f>+(Assumptions!$D$67+Assumptions!$D$68)*('Revenue Funnel'!BG24+'Revenue Funnel'!BG26)</f>
        <v>2316</v>
      </c>
      <c r="BH30" s="999">
        <f>+(Assumptions!$D$67+Assumptions!$D$68)*('Revenue Funnel'!BH24+'Revenue Funnel'!BH26)</f>
        <v>2316</v>
      </c>
      <c r="BI30" s="998">
        <f>+(Assumptions!$D$67+Assumptions!$D$68)*('Revenue Funnel'!BI24+'Revenue Funnel'!BI26)</f>
        <v>2328</v>
      </c>
      <c r="BJ30" s="998">
        <f>+(Assumptions!$D$67+Assumptions!$D$68)*('Revenue Funnel'!BJ24+'Revenue Funnel'!BJ26)</f>
        <v>2334</v>
      </c>
      <c r="BK30" s="1000">
        <f>+(Assumptions!$D$67+Assumptions!$D$68)*('Revenue Funnel'!BK24+'Revenue Funnel'!BK26)</f>
        <v>2334</v>
      </c>
      <c r="BL30" s="883"/>
      <c r="BM30" s="982"/>
      <c r="BN30" s="218"/>
      <c r="BP30" s="91"/>
      <c r="BQ30" s="91"/>
      <c r="BR30" s="91"/>
      <c r="BS30" s="91"/>
      <c r="BT30" s="91"/>
      <c r="BU30" s="91"/>
      <c r="BV30" s="91"/>
      <c r="BW30" s="91"/>
    </row>
    <row r="31" spans="2:75" ht="16.2" thickBot="1">
      <c r="B31" s="1502"/>
      <c r="C31" s="1281" t="s">
        <v>508</v>
      </c>
      <c r="D31" s="1276"/>
      <c r="E31" s="1277"/>
      <c r="F31" s="1278"/>
      <c r="G31" s="1277"/>
      <c r="H31" s="1277"/>
      <c r="I31" s="1278"/>
      <c r="J31" s="1277"/>
      <c r="K31" s="1277"/>
      <c r="L31" s="1278"/>
      <c r="M31" s="1349">
        <f>+M17+M21+M29+M30</f>
        <v>1828.75</v>
      </c>
      <c r="N31" s="1349">
        <f aca="true" t="shared" si="54" ref="N31:BJ31">+N17+N21+N29+N30</f>
        <v>4248.75</v>
      </c>
      <c r="O31" s="1347">
        <f t="shared" si="54"/>
        <v>4683.75</v>
      </c>
      <c r="P31" s="1350">
        <f>+P17+P21+P29+P30</f>
        <v>14819</v>
      </c>
      <c r="Q31" s="1349">
        <f t="shared" si="54"/>
        <v>18779</v>
      </c>
      <c r="R31" s="1348">
        <f t="shared" si="54"/>
        <v>21029</v>
      </c>
      <c r="S31" s="1349">
        <f t="shared" si="54"/>
        <v>21889</v>
      </c>
      <c r="T31" s="1349">
        <f t="shared" si="54"/>
        <v>22749</v>
      </c>
      <c r="U31" s="1348">
        <f t="shared" si="54"/>
        <v>23789</v>
      </c>
      <c r="V31" s="1349">
        <f t="shared" si="54"/>
        <v>24929</v>
      </c>
      <c r="W31" s="1349">
        <f t="shared" si="54"/>
        <v>25835.625</v>
      </c>
      <c r="X31" s="1348">
        <f t="shared" si="54"/>
        <v>27205.625</v>
      </c>
      <c r="Y31" s="1349">
        <f t="shared" si="54"/>
        <v>28275.625</v>
      </c>
      <c r="Z31" s="1349">
        <f t="shared" si="54"/>
        <v>29445.625</v>
      </c>
      <c r="AA31" s="1347">
        <f t="shared" si="54"/>
        <v>30862.25</v>
      </c>
      <c r="AB31" s="1350">
        <f t="shared" si="54"/>
        <v>32943.375</v>
      </c>
      <c r="AC31" s="1349">
        <f t="shared" si="54"/>
        <v>34373.375</v>
      </c>
      <c r="AD31" s="1348">
        <f t="shared" si="54"/>
        <v>35920</v>
      </c>
      <c r="AE31" s="1349">
        <f t="shared" si="54"/>
        <v>37180</v>
      </c>
      <c r="AF31" s="1349">
        <f t="shared" si="54"/>
        <v>38890</v>
      </c>
      <c r="AG31" s="1348">
        <f t="shared" si="54"/>
        <v>40496.625</v>
      </c>
      <c r="AH31" s="1349">
        <f t="shared" si="54"/>
        <v>42266.625</v>
      </c>
      <c r="AI31" s="1349">
        <f t="shared" si="54"/>
        <v>44036.625</v>
      </c>
      <c r="AJ31" s="1348">
        <f t="shared" si="54"/>
        <v>46153.25</v>
      </c>
      <c r="AK31" s="1349">
        <f t="shared" si="54"/>
        <v>47983.25</v>
      </c>
      <c r="AL31" s="1349">
        <f t="shared" si="54"/>
        <v>50393.25</v>
      </c>
      <c r="AM31" s="1347">
        <f t="shared" si="54"/>
        <v>52383.25</v>
      </c>
      <c r="AN31" s="1350">
        <f t="shared" si="54"/>
        <v>56233.125</v>
      </c>
      <c r="AO31" s="1349">
        <f t="shared" si="54"/>
        <v>58749.75</v>
      </c>
      <c r="AP31" s="1348">
        <f t="shared" si="54"/>
        <v>61279.75</v>
      </c>
      <c r="AQ31" s="1349">
        <f t="shared" si="54"/>
        <v>64289.75</v>
      </c>
      <c r="AR31" s="1349">
        <f t="shared" si="54"/>
        <v>67093</v>
      </c>
      <c r="AS31" s="1348">
        <f t="shared" si="54"/>
        <v>70243</v>
      </c>
      <c r="AT31" s="1349">
        <f t="shared" si="54"/>
        <v>73703</v>
      </c>
      <c r="AU31" s="1349">
        <f t="shared" si="54"/>
        <v>77159.625</v>
      </c>
      <c r="AV31" s="1348">
        <f t="shared" si="54"/>
        <v>81026.25</v>
      </c>
      <c r="AW31" s="1349">
        <f t="shared" si="54"/>
        <v>84856.25</v>
      </c>
      <c r="AX31" s="1349">
        <f t="shared" si="54"/>
        <v>88912.875</v>
      </c>
      <c r="AY31" s="1347">
        <f t="shared" si="54"/>
        <v>93162.875</v>
      </c>
      <c r="AZ31" s="1350">
        <f t="shared" si="54"/>
        <v>100134.25</v>
      </c>
      <c r="BA31" s="1349">
        <f t="shared" si="54"/>
        <v>104837.5</v>
      </c>
      <c r="BB31" s="1348">
        <f t="shared" si="54"/>
        <v>110067.5</v>
      </c>
      <c r="BC31" s="1349">
        <f t="shared" si="54"/>
        <v>115124.125</v>
      </c>
      <c r="BD31" s="1349">
        <f t="shared" si="54"/>
        <v>121367.375</v>
      </c>
      <c r="BE31" s="1348">
        <f t="shared" si="54"/>
        <v>127187.375</v>
      </c>
      <c r="BF31" s="1349">
        <f t="shared" si="54"/>
        <v>133830.625</v>
      </c>
      <c r="BG31" s="1349">
        <f t="shared" si="54"/>
        <v>140547.25</v>
      </c>
      <c r="BH31" s="1348">
        <f t="shared" si="54"/>
        <v>147737.25</v>
      </c>
      <c r="BI31" s="1349">
        <f t="shared" si="54"/>
        <v>155350.5</v>
      </c>
      <c r="BJ31" s="1349">
        <f t="shared" si="54"/>
        <v>162987.125</v>
      </c>
      <c r="BK31" s="1347">
        <f>+BK17+BK21+BK29+BK30</f>
        <v>171627.125</v>
      </c>
      <c r="BL31" s="883"/>
      <c r="BM31" s="982"/>
      <c r="BN31" s="218"/>
      <c r="BP31" s="91"/>
      <c r="BQ31" s="91"/>
      <c r="BR31" s="91"/>
      <c r="BS31" s="91"/>
      <c r="BT31" s="91"/>
      <c r="BU31" s="91"/>
      <c r="BV31" s="91"/>
      <c r="BW31" s="91"/>
    </row>
    <row r="32" spans="6:18" ht="15.75">
      <c r="F32" s="478"/>
      <c r="R32" s="478"/>
    </row>
    <row r="33" ht="15.75">
      <c r="P33" s="859"/>
    </row>
    <row r="34" ht="15.75">
      <c r="R34" s="99"/>
    </row>
    <row r="35" spans="17:18" ht="15.75">
      <c r="Q35" s="1366"/>
      <c r="R35" s="99"/>
    </row>
  </sheetData>
  <sheetProtection algorithmName="SHA-512" hashValue="zVK198ZfsK0j5ZYSN/sXSz94o7dvkdolHG8L3r07Q+io5HKbE7+r4vXOVsq3Wmg3BOWzj9IR/ucUlEhJRmhnCw==" saltValue="mi7HqZhf3C/IF6eqroBsYA==" spinCount="100000" sheet="1" objects="1" scenarios="1"/>
  <mergeCells count="9">
    <mergeCell ref="B13:B31"/>
    <mergeCell ref="B4:B10"/>
    <mergeCell ref="B11:B12"/>
    <mergeCell ref="AZ2:BK2"/>
    <mergeCell ref="D2:O2"/>
    <mergeCell ref="P2:AA2"/>
    <mergeCell ref="AB2:AM2"/>
    <mergeCell ref="AN2:AY2"/>
    <mergeCell ref="B2:C3"/>
  </mergeCells>
  <printOptions/>
  <pageMargins left="0.7" right="0.7" top="0.75" bottom="0.75" header="0.3" footer="0.3"/>
  <pageSetup horizontalDpi="600" verticalDpi="600" orientation="portrait" paperSize="9" r:id="rId3"/>
  <ignoredErrors>
    <ignoredError sqref="M21:R21"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B448B-5416-3546-817A-F293BD7B3D6D}">
  <dimension ref="A1:DC60"/>
  <sheetViews>
    <sheetView zoomScale="110" zoomScaleNormal="110" workbookViewId="0" topLeftCell="A1">
      <selection activeCell="BP10" sqref="A1:XFD1048576"/>
    </sheetView>
  </sheetViews>
  <sheetFormatPr defaultColWidth="10.75390625" defaultRowHeight="15.75" outlineLevelCol="1"/>
  <cols>
    <col min="1" max="1" width="1.75390625" style="101" customWidth="1"/>
    <col min="2" max="2" width="26.00390625" style="101" bestFit="1" customWidth="1"/>
    <col min="3" max="3" width="43.75390625" style="499" customWidth="1"/>
    <col min="4" max="4" width="13.75390625" style="500" bestFit="1" customWidth="1"/>
    <col min="5" max="40" width="11.25390625" style="101" customWidth="1" outlineLevel="1"/>
    <col min="41" max="63" width="11.25390625" style="101" customWidth="1"/>
    <col min="64" max="64" width="10.75390625" style="101" customWidth="1"/>
    <col min="65" max="67" width="12.25390625" style="101" customWidth="1"/>
    <col min="68" max="68" width="34.75390625" style="101" bestFit="1" customWidth="1"/>
    <col min="69" max="69" width="13.00390625" style="101" customWidth="1"/>
    <col min="70" max="70" width="14.00390625" style="101" customWidth="1"/>
    <col min="71" max="71" width="12.25390625" style="101" customWidth="1"/>
    <col min="72" max="72" width="16.00390625" style="101" bestFit="1" customWidth="1"/>
    <col min="73" max="76" width="12.25390625" style="101" customWidth="1"/>
    <col min="77" max="77" width="16.75390625" style="101" customWidth="1"/>
    <col min="78" max="78" width="12.25390625" style="101" customWidth="1"/>
    <col min="79" max="79" width="10.75390625" style="101" customWidth="1"/>
    <col min="80" max="81" width="11.75390625" style="101" bestFit="1" customWidth="1"/>
    <col min="82" max="84" width="10.75390625" style="101" customWidth="1"/>
    <col min="85" max="85" width="27.75390625" style="101" bestFit="1" customWidth="1"/>
    <col min="86" max="16384" width="10.75390625" style="101" customWidth="1"/>
  </cols>
  <sheetData>
    <row r="1" spans="3:78" s="571" customFormat="1" ht="25.05" customHeight="1" thickBot="1">
      <c r="C1" s="572"/>
      <c r="D1" s="573"/>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BZ1" s="101"/>
    </row>
    <row r="2" spans="2:90" ht="34.95" customHeight="1" thickBot="1">
      <c r="B2" s="1552"/>
      <c r="C2" s="575"/>
      <c r="D2" s="576"/>
      <c r="E2" s="1530"/>
      <c r="F2" s="1531"/>
      <c r="G2" s="1531"/>
      <c r="H2" s="1531"/>
      <c r="I2" s="1531"/>
      <c r="J2" s="1531"/>
      <c r="K2" s="1531"/>
      <c r="L2" s="1531"/>
      <c r="M2" s="1531"/>
      <c r="N2" s="1531"/>
      <c r="O2" s="1531"/>
      <c r="P2" s="1532"/>
      <c r="Q2" s="1531"/>
      <c r="R2" s="1531"/>
      <c r="S2" s="1531"/>
      <c r="T2" s="1531"/>
      <c r="U2" s="1531"/>
      <c r="V2" s="1531"/>
      <c r="W2" s="1531"/>
      <c r="X2" s="1531"/>
      <c r="Y2" s="1531"/>
      <c r="Z2" s="1531"/>
      <c r="AA2" s="1531"/>
      <c r="AB2" s="1532"/>
      <c r="AC2" s="1530"/>
      <c r="AD2" s="1531"/>
      <c r="AE2" s="1531"/>
      <c r="AF2" s="1531"/>
      <c r="AG2" s="1531"/>
      <c r="AH2" s="1531"/>
      <c r="AI2" s="1531"/>
      <c r="AJ2" s="1531"/>
      <c r="AK2" s="1531"/>
      <c r="AL2" s="1531"/>
      <c r="AM2" s="1531"/>
      <c r="AN2" s="1532"/>
      <c r="AO2" s="1530"/>
      <c r="AP2" s="1531"/>
      <c r="AQ2" s="1531"/>
      <c r="AR2" s="1531"/>
      <c r="AS2" s="1531"/>
      <c r="AT2" s="1531"/>
      <c r="AU2" s="1531"/>
      <c r="AV2" s="1531"/>
      <c r="AW2" s="1531"/>
      <c r="AX2" s="1531"/>
      <c r="AY2" s="1531"/>
      <c r="AZ2" s="1532"/>
      <c r="BA2" s="1530"/>
      <c r="BB2" s="1531"/>
      <c r="BC2" s="1531"/>
      <c r="BD2" s="1531"/>
      <c r="BE2" s="1531"/>
      <c r="BF2" s="1531"/>
      <c r="BG2" s="1531"/>
      <c r="BH2" s="1531"/>
      <c r="BI2" s="1531"/>
      <c r="BJ2" s="1531"/>
      <c r="BK2" s="1531"/>
      <c r="BL2" s="1532"/>
      <c r="BP2" s="1527"/>
      <c r="BQ2" s="1528"/>
      <c r="BR2" s="1529"/>
      <c r="BT2" s="778"/>
      <c r="BU2" s="778"/>
      <c r="BV2" s="778"/>
      <c r="BW2" s="778"/>
      <c r="BX2" s="841"/>
      <c r="BZ2" s="1514"/>
      <c r="CA2" s="1515"/>
      <c r="CB2" s="778"/>
      <c r="CC2" s="778"/>
      <c r="CD2" s="778"/>
      <c r="CE2" s="841"/>
      <c r="CG2" s="1514"/>
      <c r="CH2" s="1515"/>
      <c r="CI2" s="778"/>
      <c r="CJ2" s="778"/>
      <c r="CK2" s="778"/>
      <c r="CL2" s="841"/>
    </row>
    <row r="3" spans="2:104" ht="19.95" customHeight="1" thickBot="1">
      <c r="B3" s="1553"/>
      <c r="C3" s="577"/>
      <c r="D3" s="578"/>
      <c r="E3" s="1533"/>
      <c r="F3" s="1534"/>
      <c r="G3" s="1535"/>
      <c r="H3" s="1536"/>
      <c r="I3" s="1534"/>
      <c r="J3" s="1535"/>
      <c r="K3" s="1536"/>
      <c r="L3" s="1534"/>
      <c r="M3" s="1535"/>
      <c r="N3" s="1534"/>
      <c r="O3" s="1534"/>
      <c r="P3" s="1537"/>
      <c r="Q3" s="1534"/>
      <c r="R3" s="1534"/>
      <c r="S3" s="1535"/>
      <c r="T3" s="1536"/>
      <c r="U3" s="1534"/>
      <c r="V3" s="1535"/>
      <c r="W3" s="1536"/>
      <c r="X3" s="1534"/>
      <c r="Y3" s="1535"/>
      <c r="Z3" s="1536"/>
      <c r="AA3" s="1534"/>
      <c r="AB3" s="1537"/>
      <c r="AC3" s="1533"/>
      <c r="AD3" s="1534"/>
      <c r="AE3" s="1535"/>
      <c r="AF3" s="1536"/>
      <c r="AG3" s="1534"/>
      <c r="AH3" s="1535"/>
      <c r="AI3" s="1536"/>
      <c r="AJ3" s="1534"/>
      <c r="AK3" s="1535"/>
      <c r="AL3" s="1536"/>
      <c r="AM3" s="1534"/>
      <c r="AN3" s="1537"/>
      <c r="AO3" s="1533"/>
      <c r="AP3" s="1534"/>
      <c r="AQ3" s="1535"/>
      <c r="AR3" s="1536"/>
      <c r="AS3" s="1534"/>
      <c r="AT3" s="1535"/>
      <c r="AU3" s="1536"/>
      <c r="AV3" s="1534"/>
      <c r="AW3" s="1535"/>
      <c r="AX3" s="1536"/>
      <c r="AY3" s="1534"/>
      <c r="AZ3" s="1537"/>
      <c r="BA3" s="1533"/>
      <c r="BB3" s="1546"/>
      <c r="BC3" s="1535"/>
      <c r="BD3" s="1536"/>
      <c r="BE3" s="1546"/>
      <c r="BF3" s="1535"/>
      <c r="BG3" s="1536"/>
      <c r="BH3" s="1546"/>
      <c r="BI3" s="1535"/>
      <c r="BJ3" s="1536"/>
      <c r="BK3" s="1546"/>
      <c r="BL3" s="1537"/>
      <c r="BP3" s="778"/>
      <c r="BQ3" s="779"/>
      <c r="BR3" s="780"/>
      <c r="BT3" s="839"/>
      <c r="BU3" s="834"/>
      <c r="BV3" s="834"/>
      <c r="BW3" s="834"/>
      <c r="BX3" s="835"/>
      <c r="BZ3" s="839"/>
      <c r="CA3" s="834"/>
      <c r="CB3" s="843"/>
      <c r="CC3" s="843"/>
      <c r="CD3" s="844"/>
      <c r="CE3" s="845"/>
      <c r="CG3" s="1516"/>
      <c r="CH3" s="1517"/>
      <c r="CI3" s="849"/>
      <c r="CJ3" s="849"/>
      <c r="CK3" s="849"/>
      <c r="CL3" s="849"/>
      <c r="CM3" s="765"/>
      <c r="CN3" s="765"/>
      <c r="CO3" s="765"/>
      <c r="CP3" s="765"/>
      <c r="CQ3" s="765"/>
      <c r="CR3" s="765"/>
      <c r="CS3" s="765"/>
      <c r="CT3" s="765"/>
      <c r="CU3" s="765"/>
      <c r="CV3" s="765"/>
      <c r="CW3" s="765"/>
      <c r="CX3" s="765"/>
      <c r="CY3" s="765"/>
      <c r="CZ3" s="765"/>
    </row>
    <row r="4" spans="2:104" ht="24" customHeight="1" thickBot="1">
      <c r="B4" s="1553"/>
      <c r="C4" s="579"/>
      <c r="D4" s="580"/>
      <c r="E4" s="581"/>
      <c r="F4" s="582"/>
      <c r="G4" s="583"/>
      <c r="H4" s="584"/>
      <c r="I4" s="582"/>
      <c r="J4" s="583"/>
      <c r="K4" s="584"/>
      <c r="L4" s="582"/>
      <c r="M4" s="583"/>
      <c r="N4" s="582"/>
      <c r="O4" s="582"/>
      <c r="P4" s="585"/>
      <c r="Q4" s="581"/>
      <c r="R4" s="582"/>
      <c r="S4" s="583"/>
      <c r="T4" s="584"/>
      <c r="U4" s="582"/>
      <c r="V4" s="583"/>
      <c r="W4" s="584"/>
      <c r="X4" s="582"/>
      <c r="Y4" s="583"/>
      <c r="Z4" s="582"/>
      <c r="AA4" s="582"/>
      <c r="AB4" s="585"/>
      <c r="AC4" s="581"/>
      <c r="AD4" s="582"/>
      <c r="AE4" s="583"/>
      <c r="AF4" s="584"/>
      <c r="AG4" s="582"/>
      <c r="AH4" s="583"/>
      <c r="AI4" s="584"/>
      <c r="AJ4" s="582"/>
      <c r="AK4" s="583"/>
      <c r="AL4" s="582"/>
      <c r="AM4" s="582"/>
      <c r="AN4" s="585"/>
      <c r="AO4" s="581"/>
      <c r="AP4" s="582"/>
      <c r="AQ4" s="583"/>
      <c r="AR4" s="584"/>
      <c r="AS4" s="582"/>
      <c r="AT4" s="583"/>
      <c r="AU4" s="584"/>
      <c r="AV4" s="582"/>
      <c r="AW4" s="583"/>
      <c r="AX4" s="582"/>
      <c r="AY4" s="582"/>
      <c r="AZ4" s="585"/>
      <c r="BA4" s="581"/>
      <c r="BB4" s="732"/>
      <c r="BC4" s="583"/>
      <c r="BD4" s="584"/>
      <c r="BE4" s="732"/>
      <c r="BF4" s="583"/>
      <c r="BG4" s="584"/>
      <c r="BH4" s="732"/>
      <c r="BI4" s="583"/>
      <c r="BJ4" s="732"/>
      <c r="BK4" s="732"/>
      <c r="BL4" s="585"/>
      <c r="BP4" s="777"/>
      <c r="BQ4" s="871"/>
      <c r="BR4" s="872"/>
      <c r="BT4" s="840"/>
      <c r="BU4" s="836"/>
      <c r="BV4" s="837"/>
      <c r="BW4" s="837"/>
      <c r="BX4" s="838"/>
      <c r="CG4" s="1516"/>
      <c r="CH4" s="1517"/>
      <c r="CI4" s="843"/>
      <c r="CJ4" s="843"/>
      <c r="CK4" s="843"/>
      <c r="CL4" s="843"/>
      <c r="CM4" s="765"/>
      <c r="CN4" s="765"/>
      <c r="CO4" s="765"/>
      <c r="CP4" s="765"/>
      <c r="CQ4" s="765"/>
      <c r="CR4" s="765"/>
      <c r="CS4" s="765"/>
      <c r="CT4" s="765"/>
      <c r="CU4" s="765"/>
      <c r="CV4" s="765"/>
      <c r="CW4" s="765"/>
      <c r="CX4" s="765"/>
      <c r="CY4" s="765"/>
      <c r="CZ4" s="765"/>
    </row>
    <row r="5" spans="1:107" s="589" customFormat="1" ht="21" customHeight="1" thickBot="1">
      <c r="A5" s="586"/>
      <c r="B5" s="1553"/>
      <c r="C5" s="587"/>
      <c r="D5" s="588"/>
      <c r="E5" s="717"/>
      <c r="F5" s="718"/>
      <c r="G5" s="719"/>
      <c r="H5" s="720"/>
      <c r="I5" s="718"/>
      <c r="J5" s="719"/>
      <c r="K5" s="720"/>
      <c r="L5" s="718"/>
      <c r="M5" s="719"/>
      <c r="N5" s="718"/>
      <c r="O5" s="718"/>
      <c r="P5" s="721"/>
      <c r="Q5" s="890"/>
      <c r="R5" s="891"/>
      <c r="S5" s="892"/>
      <c r="T5" s="893"/>
      <c r="U5" s="891"/>
      <c r="V5" s="892"/>
      <c r="W5" s="893"/>
      <c r="X5" s="891"/>
      <c r="Y5" s="892"/>
      <c r="Z5" s="891"/>
      <c r="AA5" s="891"/>
      <c r="AB5" s="894"/>
      <c r="AC5" s="890"/>
      <c r="AD5" s="891"/>
      <c r="AE5" s="892"/>
      <c r="AF5" s="893"/>
      <c r="AG5" s="891"/>
      <c r="AH5" s="892"/>
      <c r="AI5" s="893"/>
      <c r="AJ5" s="891"/>
      <c r="AK5" s="892"/>
      <c r="AL5" s="891"/>
      <c r="AM5" s="891"/>
      <c r="AN5" s="894"/>
      <c r="AO5" s="890"/>
      <c r="AP5" s="891"/>
      <c r="AQ5" s="892"/>
      <c r="AR5" s="893"/>
      <c r="AS5" s="891"/>
      <c r="AT5" s="892"/>
      <c r="AU5" s="893"/>
      <c r="AV5" s="891"/>
      <c r="AW5" s="892"/>
      <c r="AX5" s="891"/>
      <c r="AY5" s="891"/>
      <c r="AZ5" s="894"/>
      <c r="BA5" s="890"/>
      <c r="BB5" s="891"/>
      <c r="BC5" s="892"/>
      <c r="BD5" s="893"/>
      <c r="BE5" s="891"/>
      <c r="BF5" s="892"/>
      <c r="BG5" s="893"/>
      <c r="BH5" s="891"/>
      <c r="BI5" s="892"/>
      <c r="BJ5" s="891"/>
      <c r="BK5" s="891"/>
      <c r="BL5" s="894"/>
      <c r="BM5" s="521"/>
      <c r="BN5" s="521"/>
      <c r="BO5" s="521"/>
      <c r="BP5" s="777"/>
      <c r="BQ5" s="871"/>
      <c r="BR5" s="872"/>
      <c r="BS5" s="521"/>
      <c r="BT5" s="521"/>
      <c r="BU5" s="521"/>
      <c r="BV5" s="521"/>
      <c r="BW5" s="521"/>
      <c r="BX5" s="521"/>
      <c r="BY5" s="521"/>
      <c r="BZ5" s="521"/>
      <c r="CA5" s="521"/>
      <c r="CB5" s="521"/>
      <c r="CC5" s="521"/>
      <c r="CD5" s="521"/>
      <c r="CE5" s="521"/>
      <c r="CF5" s="521"/>
      <c r="CG5" s="521"/>
      <c r="CH5" s="521"/>
      <c r="CI5" s="521"/>
      <c r="CJ5" s="586"/>
      <c r="CK5" s="586"/>
      <c r="CL5" s="765"/>
      <c r="CM5" s="765"/>
      <c r="CN5" s="765"/>
      <c r="CO5" s="765"/>
      <c r="CP5" s="765"/>
      <c r="CQ5" s="765"/>
      <c r="CR5" s="765"/>
      <c r="CS5" s="765"/>
      <c r="CT5" s="765"/>
      <c r="CU5" s="765"/>
      <c r="CV5" s="765"/>
      <c r="CW5" s="765"/>
      <c r="CX5" s="765"/>
      <c r="CY5" s="765"/>
      <c r="CZ5" s="765"/>
      <c r="DA5" s="586"/>
      <c r="DB5" s="586"/>
      <c r="DC5" s="586"/>
    </row>
    <row r="6" spans="2:89" s="765" customFormat="1" ht="21" customHeight="1" thickBot="1">
      <c r="B6" s="1553"/>
      <c r="C6" s="766"/>
      <c r="D6" s="767"/>
      <c r="E6" s="768"/>
      <c r="F6" s="769"/>
      <c r="G6" s="770"/>
      <c r="H6" s="771"/>
      <c r="I6" s="769"/>
      <c r="J6" s="770"/>
      <c r="K6" s="771"/>
      <c r="L6" s="769"/>
      <c r="M6" s="770"/>
      <c r="N6" s="769"/>
      <c r="O6" s="769"/>
      <c r="P6" s="772"/>
      <c r="Q6" s="895"/>
      <c r="R6" s="896"/>
      <c r="S6" s="897"/>
      <c r="T6" s="898"/>
      <c r="U6" s="896"/>
      <c r="V6" s="897"/>
      <c r="W6" s="898"/>
      <c r="X6" s="896"/>
      <c r="Y6" s="897"/>
      <c r="Z6" s="896"/>
      <c r="AA6" s="896"/>
      <c r="AB6" s="899"/>
      <c r="AC6" s="895"/>
      <c r="AD6" s="896"/>
      <c r="AE6" s="897"/>
      <c r="AF6" s="898"/>
      <c r="AG6" s="896"/>
      <c r="AH6" s="897"/>
      <c r="AI6" s="898"/>
      <c r="AJ6" s="896"/>
      <c r="AK6" s="897"/>
      <c r="AL6" s="896"/>
      <c r="AM6" s="896"/>
      <c r="AN6" s="899"/>
      <c r="AO6" s="900"/>
      <c r="AP6" s="896"/>
      <c r="AQ6" s="897"/>
      <c r="AR6" s="898"/>
      <c r="AS6" s="896"/>
      <c r="AT6" s="897"/>
      <c r="AU6" s="898"/>
      <c r="AV6" s="896"/>
      <c r="AW6" s="897"/>
      <c r="AX6" s="896"/>
      <c r="AY6" s="896"/>
      <c r="AZ6" s="899"/>
      <c r="BA6" s="900"/>
      <c r="BB6" s="896"/>
      <c r="BC6" s="897"/>
      <c r="BD6" s="898"/>
      <c r="BE6" s="896"/>
      <c r="BF6" s="897"/>
      <c r="BG6" s="898"/>
      <c r="BH6" s="896"/>
      <c r="BI6" s="897"/>
      <c r="BJ6" s="896"/>
      <c r="BK6" s="896"/>
      <c r="BL6" s="899"/>
      <c r="BM6" s="773"/>
      <c r="BN6" s="773"/>
      <c r="BO6" s="773"/>
      <c r="BP6" s="832"/>
      <c r="BQ6" s="873"/>
      <c r="BR6" s="874"/>
      <c r="BS6" s="773"/>
      <c r="BT6" s="773"/>
      <c r="BU6" s="773"/>
      <c r="BV6" s="773"/>
      <c r="BW6" s="773"/>
      <c r="BX6" s="773"/>
      <c r="BY6" s="773"/>
      <c r="BZ6" s="773"/>
      <c r="CA6" s="773"/>
      <c r="CB6" s="773"/>
      <c r="CC6" s="773"/>
      <c r="CD6" s="773"/>
      <c r="CE6" s="773"/>
      <c r="CK6" s="586"/>
    </row>
    <row r="7" spans="2:89" s="765" customFormat="1" ht="21" customHeight="1" thickBot="1">
      <c r="B7" s="1553"/>
      <c r="C7" s="828"/>
      <c r="D7" s="767"/>
      <c r="E7" s="768"/>
      <c r="F7" s="769"/>
      <c r="G7" s="770"/>
      <c r="H7" s="771"/>
      <c r="I7" s="769"/>
      <c r="J7" s="770"/>
      <c r="K7" s="771"/>
      <c r="L7" s="769"/>
      <c r="M7" s="770"/>
      <c r="N7" s="769"/>
      <c r="O7" s="769"/>
      <c r="P7" s="772"/>
      <c r="Q7" s="901"/>
      <c r="R7" s="896"/>
      <c r="S7" s="897"/>
      <c r="T7" s="898"/>
      <c r="U7" s="896"/>
      <c r="V7" s="897"/>
      <c r="W7" s="898"/>
      <c r="X7" s="896"/>
      <c r="Y7" s="897"/>
      <c r="Z7" s="896"/>
      <c r="AA7" s="896"/>
      <c r="AB7" s="899"/>
      <c r="AC7" s="900"/>
      <c r="AD7" s="896"/>
      <c r="AE7" s="897"/>
      <c r="AF7" s="898"/>
      <c r="AG7" s="896"/>
      <c r="AH7" s="897"/>
      <c r="AI7" s="898"/>
      <c r="AJ7" s="896"/>
      <c r="AK7" s="897"/>
      <c r="AL7" s="896"/>
      <c r="AM7" s="896"/>
      <c r="AN7" s="899"/>
      <c r="AO7" s="900"/>
      <c r="AP7" s="896"/>
      <c r="AQ7" s="897"/>
      <c r="AR7" s="898"/>
      <c r="AS7" s="896"/>
      <c r="AT7" s="897"/>
      <c r="AU7" s="898"/>
      <c r="AV7" s="896"/>
      <c r="AW7" s="897"/>
      <c r="AX7" s="896"/>
      <c r="AY7" s="896"/>
      <c r="AZ7" s="899"/>
      <c r="BA7" s="900"/>
      <c r="BB7" s="896"/>
      <c r="BC7" s="897"/>
      <c r="BD7" s="898"/>
      <c r="BE7" s="896"/>
      <c r="BF7" s="897"/>
      <c r="BG7" s="898"/>
      <c r="BH7" s="896"/>
      <c r="BI7" s="897"/>
      <c r="BJ7" s="896"/>
      <c r="BK7" s="896"/>
      <c r="BL7" s="899"/>
      <c r="BM7" s="773"/>
      <c r="BN7" s="773"/>
      <c r="BO7" s="773"/>
      <c r="BP7" s="1518"/>
      <c r="BQ7" s="1521"/>
      <c r="BR7" s="1524"/>
      <c r="BS7" s="773"/>
      <c r="BT7" s="773"/>
      <c r="BU7" s="773"/>
      <c r="BV7" s="773"/>
      <c r="BW7" s="773"/>
      <c r="BX7" s="773"/>
      <c r="BY7" s="773"/>
      <c r="BZ7" s="773"/>
      <c r="CA7" s="773"/>
      <c r="CB7" s="773"/>
      <c r="CC7" s="773"/>
      <c r="CD7" s="773"/>
      <c r="CE7" s="773"/>
      <c r="CK7" s="586"/>
    </row>
    <row r="8" spans="2:89" s="765" customFormat="1" ht="21" customHeight="1" thickBot="1">
      <c r="B8" s="1553"/>
      <c r="C8" s="828"/>
      <c r="D8" s="767"/>
      <c r="E8" s="768"/>
      <c r="F8" s="769"/>
      <c r="G8" s="770"/>
      <c r="H8" s="771"/>
      <c r="I8" s="769"/>
      <c r="J8" s="770"/>
      <c r="K8" s="771"/>
      <c r="L8" s="769"/>
      <c r="M8" s="770"/>
      <c r="N8" s="769"/>
      <c r="O8" s="769"/>
      <c r="P8" s="772"/>
      <c r="Q8" s="895"/>
      <c r="R8" s="896"/>
      <c r="S8" s="897"/>
      <c r="T8" s="898"/>
      <c r="U8" s="896"/>
      <c r="V8" s="897"/>
      <c r="W8" s="898"/>
      <c r="X8" s="896"/>
      <c r="Y8" s="897"/>
      <c r="Z8" s="896"/>
      <c r="AA8" s="896"/>
      <c r="AB8" s="899"/>
      <c r="AC8" s="900"/>
      <c r="AD8" s="896"/>
      <c r="AE8" s="897"/>
      <c r="AF8" s="898"/>
      <c r="AG8" s="896"/>
      <c r="AH8" s="897"/>
      <c r="AI8" s="898"/>
      <c r="AJ8" s="896"/>
      <c r="AK8" s="897"/>
      <c r="AL8" s="896"/>
      <c r="AM8" s="896"/>
      <c r="AN8" s="899"/>
      <c r="AO8" s="900"/>
      <c r="AP8" s="896"/>
      <c r="AQ8" s="897"/>
      <c r="AR8" s="898"/>
      <c r="AS8" s="896"/>
      <c r="AT8" s="897"/>
      <c r="AU8" s="898"/>
      <c r="AV8" s="896"/>
      <c r="AW8" s="897"/>
      <c r="AX8" s="896"/>
      <c r="AY8" s="896"/>
      <c r="AZ8" s="899"/>
      <c r="BA8" s="900"/>
      <c r="BB8" s="896"/>
      <c r="BC8" s="897"/>
      <c r="BD8" s="898"/>
      <c r="BE8" s="896"/>
      <c r="BF8" s="897"/>
      <c r="BG8" s="898"/>
      <c r="BH8" s="896"/>
      <c r="BI8" s="897"/>
      <c r="BJ8" s="896"/>
      <c r="BK8" s="896"/>
      <c r="BL8" s="899"/>
      <c r="BM8" s="773"/>
      <c r="BN8" s="773"/>
      <c r="BO8" s="773"/>
      <c r="BP8" s="1519"/>
      <c r="BQ8" s="1522"/>
      <c r="BR8" s="1525"/>
      <c r="BS8" s="773"/>
      <c r="BT8" s="773"/>
      <c r="BU8" s="773"/>
      <c r="BV8" s="773"/>
      <c r="BW8" s="773"/>
      <c r="BX8" s="773"/>
      <c r="BY8" s="773"/>
      <c r="BZ8" s="773"/>
      <c r="CA8" s="773"/>
      <c r="CB8" s="773"/>
      <c r="CC8" s="773"/>
      <c r="CD8" s="773"/>
      <c r="CE8" s="773"/>
      <c r="CK8" s="586"/>
    </row>
    <row r="9" spans="2:89" s="765" customFormat="1" ht="21" customHeight="1" thickBot="1">
      <c r="B9" s="1553"/>
      <c r="C9" s="828"/>
      <c r="D9" s="767"/>
      <c r="E9" s="768"/>
      <c r="F9" s="769"/>
      <c r="G9" s="770"/>
      <c r="H9" s="771"/>
      <c r="I9" s="769"/>
      <c r="J9" s="770"/>
      <c r="K9" s="771"/>
      <c r="L9" s="769"/>
      <c r="M9" s="770"/>
      <c r="N9" s="769"/>
      <c r="O9" s="769"/>
      <c r="P9" s="772"/>
      <c r="Q9" s="895"/>
      <c r="R9" s="896"/>
      <c r="S9" s="897"/>
      <c r="T9" s="898"/>
      <c r="U9" s="896"/>
      <c r="V9" s="897"/>
      <c r="W9" s="898"/>
      <c r="X9" s="896"/>
      <c r="Y9" s="897"/>
      <c r="Z9" s="896"/>
      <c r="AA9" s="896"/>
      <c r="AB9" s="899"/>
      <c r="AC9" s="900"/>
      <c r="AD9" s="896"/>
      <c r="AE9" s="897"/>
      <c r="AF9" s="898"/>
      <c r="AG9" s="896"/>
      <c r="AH9" s="897"/>
      <c r="AI9" s="898"/>
      <c r="AJ9" s="896"/>
      <c r="AK9" s="897"/>
      <c r="AL9" s="896"/>
      <c r="AM9" s="896"/>
      <c r="AN9" s="899"/>
      <c r="AO9" s="900"/>
      <c r="AP9" s="896"/>
      <c r="AQ9" s="897"/>
      <c r="AR9" s="898"/>
      <c r="AS9" s="896"/>
      <c r="AT9" s="897"/>
      <c r="AU9" s="898"/>
      <c r="AV9" s="896"/>
      <c r="AW9" s="897"/>
      <c r="AX9" s="896"/>
      <c r="AY9" s="896"/>
      <c r="AZ9" s="899"/>
      <c r="BA9" s="900"/>
      <c r="BB9" s="896"/>
      <c r="BC9" s="897"/>
      <c r="BD9" s="898"/>
      <c r="BE9" s="896"/>
      <c r="BF9" s="897"/>
      <c r="BG9" s="898"/>
      <c r="BH9" s="896"/>
      <c r="BI9" s="897"/>
      <c r="BJ9" s="896"/>
      <c r="BK9" s="896"/>
      <c r="BL9" s="899"/>
      <c r="BM9" s="773"/>
      <c r="BN9" s="773"/>
      <c r="BO9" s="773"/>
      <c r="BP9" s="1520"/>
      <c r="BQ9" s="1523"/>
      <c r="BR9" s="1526"/>
      <c r="BS9" s="773"/>
      <c r="BT9" s="731"/>
      <c r="BU9" s="731"/>
      <c r="BV9" s="773"/>
      <c r="BW9" s="773"/>
      <c r="BX9" s="773"/>
      <c r="BY9" s="773"/>
      <c r="BZ9" s="773"/>
      <c r="CA9" s="773"/>
      <c r="CB9" s="773"/>
      <c r="CC9" s="773"/>
      <c r="CD9" s="773"/>
      <c r="CE9" s="773"/>
      <c r="CK9" s="586"/>
    </row>
    <row r="10" spans="2:104" s="586" customFormat="1" ht="25.05" customHeight="1" thickBot="1">
      <c r="B10" s="1553"/>
      <c r="C10" s="664"/>
      <c r="D10" s="590"/>
      <c r="E10" s="595"/>
      <c r="F10" s="592"/>
      <c r="G10" s="593"/>
      <c r="H10" s="591"/>
      <c r="I10" s="592"/>
      <c r="J10" s="593"/>
      <c r="K10" s="591"/>
      <c r="L10" s="592"/>
      <c r="M10" s="593"/>
      <c r="N10" s="592"/>
      <c r="O10" s="592"/>
      <c r="P10" s="594"/>
      <c r="Q10" s="595"/>
      <c r="R10" s="592"/>
      <c r="S10" s="593"/>
      <c r="T10" s="591"/>
      <c r="U10" s="592"/>
      <c r="V10" s="593"/>
      <c r="W10" s="591"/>
      <c r="X10" s="592"/>
      <c r="Y10" s="593"/>
      <c r="Z10" s="592"/>
      <c r="AA10" s="592"/>
      <c r="AB10" s="594"/>
      <c r="AC10" s="595"/>
      <c r="AD10" s="592"/>
      <c r="AE10" s="593"/>
      <c r="AF10" s="591"/>
      <c r="AG10" s="592"/>
      <c r="AH10" s="593"/>
      <c r="AI10" s="591"/>
      <c r="AJ10" s="592"/>
      <c r="AK10" s="593"/>
      <c r="AL10" s="592"/>
      <c r="AM10" s="592"/>
      <c r="AN10" s="594"/>
      <c r="AO10" s="595"/>
      <c r="AP10" s="592"/>
      <c r="AQ10" s="593"/>
      <c r="AR10" s="591"/>
      <c r="AS10" s="592"/>
      <c r="AT10" s="593"/>
      <c r="AU10" s="591"/>
      <c r="AV10" s="592"/>
      <c r="AW10" s="593"/>
      <c r="AX10" s="592"/>
      <c r="AY10" s="592"/>
      <c r="AZ10" s="594"/>
      <c r="BA10" s="595"/>
      <c r="BB10" s="592"/>
      <c r="BC10" s="593"/>
      <c r="BD10" s="591"/>
      <c r="BE10" s="592"/>
      <c r="BF10" s="593"/>
      <c r="BG10" s="591"/>
      <c r="BH10" s="592"/>
      <c r="BI10" s="593"/>
      <c r="BJ10" s="592"/>
      <c r="BK10" s="592"/>
      <c r="BL10" s="594"/>
      <c r="BM10" s="826"/>
      <c r="BN10" s="826"/>
      <c r="BO10" s="826"/>
      <c r="BP10" s="827"/>
      <c r="BQ10" s="867"/>
      <c r="BR10" s="868"/>
      <c r="BS10" s="731"/>
      <c r="BT10" s="773"/>
      <c r="BU10" s="773"/>
      <c r="BV10" s="731"/>
      <c r="BX10" s="731"/>
      <c r="BY10" s="731"/>
      <c r="BZ10" s="731"/>
      <c r="CA10" s="731"/>
      <c r="CB10" s="731"/>
      <c r="CC10" s="731"/>
      <c r="CD10" s="731"/>
      <c r="CK10" s="607"/>
      <c r="CL10" s="765"/>
      <c r="CM10" s="765"/>
      <c r="CN10" s="765"/>
      <c r="CO10" s="765"/>
      <c r="CP10" s="765"/>
      <c r="CQ10" s="765"/>
      <c r="CR10" s="765"/>
      <c r="CS10" s="765"/>
      <c r="CT10" s="765"/>
      <c r="CU10" s="765"/>
      <c r="CV10" s="765"/>
      <c r="CW10" s="765"/>
      <c r="CX10" s="765"/>
      <c r="CY10" s="765"/>
      <c r="CZ10" s="765"/>
    </row>
    <row r="11" spans="2:104" s="586" customFormat="1" ht="21" customHeight="1" thickBot="1">
      <c r="B11" s="1553"/>
      <c r="C11" s="664"/>
      <c r="D11" s="590"/>
      <c r="E11" s="595"/>
      <c r="F11" s="592"/>
      <c r="G11" s="593"/>
      <c r="H11" s="591"/>
      <c r="I11" s="592"/>
      <c r="J11" s="593"/>
      <c r="K11" s="591"/>
      <c r="L11" s="592"/>
      <c r="M11" s="593"/>
      <c r="N11" s="592"/>
      <c r="O11" s="592"/>
      <c r="P11" s="594"/>
      <c r="Q11" s="946"/>
      <c r="R11" s="592"/>
      <c r="S11" s="593"/>
      <c r="T11" s="591"/>
      <c r="U11" s="592"/>
      <c r="V11" s="593"/>
      <c r="W11" s="591"/>
      <c r="X11" s="592"/>
      <c r="Y11" s="593"/>
      <c r="Z11" s="592"/>
      <c r="AA11" s="592"/>
      <c r="AB11" s="594"/>
      <c r="AC11" s="595"/>
      <c r="AD11" s="592"/>
      <c r="AE11" s="593"/>
      <c r="AF11" s="591"/>
      <c r="AG11" s="592"/>
      <c r="AH11" s="593"/>
      <c r="AI11" s="591"/>
      <c r="AJ11" s="592"/>
      <c r="AK11" s="593"/>
      <c r="AL11" s="592"/>
      <c r="AM11" s="592"/>
      <c r="AN11" s="594"/>
      <c r="AO11" s="595"/>
      <c r="AP11" s="592"/>
      <c r="AQ11" s="593"/>
      <c r="AR11" s="591"/>
      <c r="AS11" s="592"/>
      <c r="AT11" s="593"/>
      <c r="AU11" s="591"/>
      <c r="AV11" s="592"/>
      <c r="AW11" s="593"/>
      <c r="AX11" s="592"/>
      <c r="AY11" s="592"/>
      <c r="AZ11" s="594"/>
      <c r="BA11" s="595"/>
      <c r="BB11" s="592"/>
      <c r="BC11" s="593"/>
      <c r="BD11" s="591"/>
      <c r="BE11" s="592"/>
      <c r="BF11" s="593"/>
      <c r="BG11" s="591"/>
      <c r="BH11" s="592"/>
      <c r="BI11" s="593"/>
      <c r="BJ11" s="592"/>
      <c r="BK11" s="592"/>
      <c r="BL11" s="594"/>
      <c r="BM11" s="642"/>
      <c r="BN11" s="642"/>
      <c r="BO11" s="642"/>
      <c r="BP11" s="861"/>
      <c r="BQ11" s="869"/>
      <c r="BR11" s="870"/>
      <c r="BS11" s="642"/>
      <c r="BT11" s="773"/>
      <c r="BU11" s="773"/>
      <c r="BV11" s="642"/>
      <c r="BW11" s="731"/>
      <c r="BX11" s="642"/>
      <c r="BY11" s="642"/>
      <c r="BZ11" s="642"/>
      <c r="CA11" s="642"/>
      <c r="CB11" s="642"/>
      <c r="CC11" s="642"/>
      <c r="CD11" s="642"/>
      <c r="CK11" s="101"/>
      <c r="CL11" s="765"/>
      <c r="CM11" s="765"/>
      <c r="CN11" s="765"/>
      <c r="CO11" s="765"/>
      <c r="CP11" s="765"/>
      <c r="CQ11" s="765"/>
      <c r="CR11" s="765"/>
      <c r="CS11" s="765"/>
      <c r="CT11" s="765"/>
      <c r="CU11" s="765"/>
      <c r="CV11" s="765"/>
      <c r="CW11" s="765"/>
      <c r="CX11" s="765"/>
      <c r="CY11" s="765"/>
      <c r="CZ11" s="765"/>
    </row>
    <row r="12" spans="2:104" s="586" customFormat="1" ht="21" customHeight="1" thickBot="1">
      <c r="B12" s="1553"/>
      <c r="C12" s="664"/>
      <c r="D12" s="590"/>
      <c r="E12" s="595"/>
      <c r="F12" s="592"/>
      <c r="G12" s="593"/>
      <c r="H12" s="591"/>
      <c r="I12" s="592"/>
      <c r="J12" s="593"/>
      <c r="K12" s="591"/>
      <c r="L12" s="592"/>
      <c r="M12" s="593"/>
      <c r="N12" s="592"/>
      <c r="O12" s="592"/>
      <c r="P12" s="594"/>
      <c r="Q12" s="789"/>
      <c r="R12" s="592"/>
      <c r="S12" s="593"/>
      <c r="T12" s="591"/>
      <c r="U12" s="592"/>
      <c r="V12" s="593"/>
      <c r="W12" s="591"/>
      <c r="X12" s="592"/>
      <c r="Y12" s="593"/>
      <c r="Z12" s="592"/>
      <c r="AA12" s="592"/>
      <c r="AB12" s="594"/>
      <c r="AC12" s="595"/>
      <c r="AD12" s="592"/>
      <c r="AE12" s="593"/>
      <c r="AF12" s="591"/>
      <c r="AG12" s="592"/>
      <c r="AH12" s="593"/>
      <c r="AI12" s="591"/>
      <c r="AJ12" s="592"/>
      <c r="AK12" s="593"/>
      <c r="AL12" s="592"/>
      <c r="AM12" s="592"/>
      <c r="AN12" s="594"/>
      <c r="AO12" s="595"/>
      <c r="AP12" s="592"/>
      <c r="AQ12" s="593"/>
      <c r="AR12" s="591"/>
      <c r="AS12" s="592"/>
      <c r="AT12" s="593"/>
      <c r="AU12" s="591"/>
      <c r="AV12" s="592"/>
      <c r="AW12" s="593"/>
      <c r="AX12" s="592"/>
      <c r="AY12" s="592"/>
      <c r="AZ12" s="594"/>
      <c r="BA12" s="595"/>
      <c r="BB12" s="592"/>
      <c r="BC12" s="593"/>
      <c r="BD12" s="591"/>
      <c r="BE12" s="592"/>
      <c r="BF12" s="593"/>
      <c r="BG12" s="591"/>
      <c r="BH12" s="592"/>
      <c r="BI12" s="593"/>
      <c r="BJ12" s="592"/>
      <c r="BK12" s="592"/>
      <c r="BL12" s="594"/>
      <c r="BM12" s="642"/>
      <c r="BN12" s="642"/>
      <c r="BO12" s="642"/>
      <c r="BS12" s="642"/>
      <c r="BT12" s="642"/>
      <c r="BU12" s="642"/>
      <c r="BV12" s="642"/>
      <c r="BW12" s="642"/>
      <c r="BX12" s="642"/>
      <c r="BY12" s="642"/>
      <c r="BZ12" s="642"/>
      <c r="CA12" s="642"/>
      <c r="CB12" s="642"/>
      <c r="CC12" s="642"/>
      <c r="CD12" s="642"/>
      <c r="CK12" s="765"/>
      <c r="CL12" s="765"/>
      <c r="CM12" s="765"/>
      <c r="CN12" s="765"/>
      <c r="CO12" s="765"/>
      <c r="CP12" s="765"/>
      <c r="CQ12" s="765"/>
      <c r="CR12" s="765"/>
      <c r="CS12" s="765"/>
      <c r="CT12" s="765"/>
      <c r="CU12" s="765"/>
      <c r="CV12" s="765"/>
      <c r="CW12" s="765"/>
      <c r="CX12" s="765"/>
      <c r="CY12" s="765"/>
      <c r="CZ12" s="765"/>
    </row>
    <row r="13" spans="2:104" s="586" customFormat="1" ht="21" customHeight="1" thickBot="1">
      <c r="B13" s="1553"/>
      <c r="C13" s="664"/>
      <c r="D13" s="590"/>
      <c r="E13" s="595"/>
      <c r="F13" s="592"/>
      <c r="G13" s="593"/>
      <c r="H13" s="591"/>
      <c r="I13" s="592"/>
      <c r="J13" s="593"/>
      <c r="K13" s="591"/>
      <c r="L13" s="592"/>
      <c r="M13" s="593"/>
      <c r="N13" s="592"/>
      <c r="O13" s="592"/>
      <c r="P13" s="594"/>
      <c r="Q13" s="595"/>
      <c r="R13" s="592"/>
      <c r="S13" s="593"/>
      <c r="T13" s="591"/>
      <c r="U13" s="592"/>
      <c r="V13" s="593"/>
      <c r="W13" s="591"/>
      <c r="X13" s="592"/>
      <c r="Y13" s="593"/>
      <c r="Z13" s="592"/>
      <c r="AA13" s="592"/>
      <c r="AB13" s="594"/>
      <c r="AC13" s="595"/>
      <c r="AD13" s="592"/>
      <c r="AE13" s="593"/>
      <c r="AF13" s="591"/>
      <c r="AG13" s="592"/>
      <c r="AH13" s="593"/>
      <c r="AI13" s="591"/>
      <c r="AJ13" s="592"/>
      <c r="AK13" s="593"/>
      <c r="AL13" s="592"/>
      <c r="AM13" s="592"/>
      <c r="AN13" s="594"/>
      <c r="AO13" s="595"/>
      <c r="AP13" s="592"/>
      <c r="AQ13" s="593"/>
      <c r="AR13" s="591"/>
      <c r="AS13" s="592"/>
      <c r="AT13" s="593"/>
      <c r="AU13" s="591"/>
      <c r="AV13" s="592"/>
      <c r="AW13" s="593"/>
      <c r="AX13" s="592"/>
      <c r="AY13" s="592"/>
      <c r="AZ13" s="594"/>
      <c r="BA13" s="595"/>
      <c r="BB13" s="592"/>
      <c r="BC13" s="593"/>
      <c r="BD13" s="591"/>
      <c r="BE13" s="592"/>
      <c r="BF13" s="593"/>
      <c r="BG13" s="591"/>
      <c r="BH13" s="592"/>
      <c r="BI13" s="593"/>
      <c r="BJ13" s="592"/>
      <c r="BK13" s="592"/>
      <c r="BL13" s="594"/>
      <c r="BM13" s="642"/>
      <c r="BN13" s="642"/>
      <c r="BO13" s="642"/>
      <c r="BS13" s="642"/>
      <c r="BT13" s="642"/>
      <c r="BU13" s="642"/>
      <c r="BV13" s="642"/>
      <c r="BW13" s="642"/>
      <c r="BX13" s="642"/>
      <c r="BY13" s="642"/>
      <c r="BZ13" s="642"/>
      <c r="CA13" s="642"/>
      <c r="CB13" s="642"/>
      <c r="CC13" s="642"/>
      <c r="CD13" s="642"/>
      <c r="CK13" s="765"/>
      <c r="CL13" s="765"/>
      <c r="CM13" s="765"/>
      <c r="CN13" s="765"/>
      <c r="CO13" s="765"/>
      <c r="CP13" s="765"/>
      <c r="CQ13" s="765"/>
      <c r="CR13" s="765"/>
      <c r="CS13" s="765"/>
      <c r="CT13" s="765"/>
      <c r="CU13" s="765"/>
      <c r="CV13" s="765"/>
      <c r="CW13" s="765"/>
      <c r="CX13" s="765"/>
      <c r="CY13" s="765"/>
      <c r="CZ13" s="765"/>
    </row>
    <row r="14" spans="2:104" s="586" customFormat="1" ht="21" customHeight="1" thickBot="1">
      <c r="B14" s="1554"/>
      <c r="C14" s="428"/>
      <c r="D14" s="601"/>
      <c r="E14" s="602"/>
      <c r="F14" s="603"/>
      <c r="G14" s="604"/>
      <c r="H14" s="605"/>
      <c r="I14" s="603"/>
      <c r="J14" s="604"/>
      <c r="K14" s="605"/>
      <c r="L14" s="603"/>
      <c r="M14" s="604"/>
      <c r="N14" s="603"/>
      <c r="O14" s="603"/>
      <c r="P14" s="606"/>
      <c r="Q14" s="602"/>
      <c r="R14" s="603"/>
      <c r="S14" s="604"/>
      <c r="T14" s="605"/>
      <c r="U14" s="603"/>
      <c r="V14" s="604"/>
      <c r="W14" s="605"/>
      <c r="X14" s="603"/>
      <c r="Y14" s="604"/>
      <c r="Z14" s="603"/>
      <c r="AA14" s="603"/>
      <c r="AB14" s="606"/>
      <c r="AC14" s="602"/>
      <c r="AD14" s="603"/>
      <c r="AE14" s="604"/>
      <c r="AF14" s="605"/>
      <c r="AG14" s="603"/>
      <c r="AH14" s="604"/>
      <c r="AI14" s="605"/>
      <c r="AJ14" s="603"/>
      <c r="AK14" s="604"/>
      <c r="AL14" s="603"/>
      <c r="AM14" s="603"/>
      <c r="AN14" s="606"/>
      <c r="AO14" s="602"/>
      <c r="AP14" s="603"/>
      <c r="AQ14" s="604"/>
      <c r="AR14" s="605"/>
      <c r="AS14" s="603"/>
      <c r="AT14" s="604"/>
      <c r="AU14" s="605"/>
      <c r="AV14" s="603"/>
      <c r="AW14" s="604"/>
      <c r="AX14" s="603"/>
      <c r="AY14" s="603"/>
      <c r="AZ14" s="606"/>
      <c r="BA14" s="602"/>
      <c r="BB14" s="603"/>
      <c r="BC14" s="604"/>
      <c r="BD14" s="605"/>
      <c r="BE14" s="603"/>
      <c r="BF14" s="604"/>
      <c r="BG14" s="605"/>
      <c r="BH14" s="603"/>
      <c r="BI14" s="604"/>
      <c r="BJ14" s="603"/>
      <c r="BK14" s="603"/>
      <c r="BL14" s="606"/>
      <c r="BM14" s="731"/>
      <c r="BN14" s="731"/>
      <c r="BO14" s="731"/>
      <c r="BS14" s="731"/>
      <c r="BT14" s="731"/>
      <c r="BU14" s="731"/>
      <c r="BV14" s="731"/>
      <c r="BW14" s="731"/>
      <c r="BX14" s="731"/>
      <c r="BY14" s="731"/>
      <c r="BZ14" s="731"/>
      <c r="CA14" s="731"/>
      <c r="CB14" s="731"/>
      <c r="CC14" s="731"/>
      <c r="CD14" s="731"/>
      <c r="CL14" s="765"/>
      <c r="CM14" s="765"/>
      <c r="CN14" s="765"/>
      <c r="CO14" s="765"/>
      <c r="CP14" s="765"/>
      <c r="CQ14" s="765"/>
      <c r="CR14" s="765"/>
      <c r="CS14" s="765"/>
      <c r="CT14" s="765"/>
      <c r="CU14" s="765"/>
      <c r="CV14" s="765"/>
      <c r="CW14" s="765"/>
      <c r="CX14" s="765"/>
      <c r="CY14" s="765"/>
      <c r="CZ14" s="765"/>
    </row>
    <row r="15" spans="2:104" s="607" customFormat="1" ht="21" customHeight="1" thickBot="1">
      <c r="B15" s="2"/>
      <c r="C15" s="2"/>
      <c r="D15" s="2"/>
      <c r="E15" s="2"/>
      <c r="F15" s="2"/>
      <c r="G15" s="2"/>
      <c r="H15" s="2"/>
      <c r="I15" s="2"/>
      <c r="J15" s="2"/>
      <c r="K15" s="2"/>
      <c r="L15" s="2"/>
      <c r="M15" s="2"/>
      <c r="N15" s="2"/>
      <c r="O15" s="2"/>
      <c r="P15" s="2"/>
      <c r="Q15" s="2"/>
      <c r="R15" s="2"/>
      <c r="S15" s="2"/>
      <c r="T15" s="2"/>
      <c r="U15" s="2"/>
      <c r="V15" s="2"/>
      <c r="W15" s="2"/>
      <c r="X15" s="2"/>
      <c r="Y15" s="2"/>
      <c r="Z15" s="2"/>
      <c r="AA15" s="2"/>
      <c r="AB15" s="307"/>
      <c r="AC15" s="2"/>
      <c r="AD15" s="2"/>
      <c r="AE15" s="2"/>
      <c r="AF15" s="2"/>
      <c r="AG15" s="2"/>
      <c r="AH15" s="2"/>
      <c r="AI15" s="2"/>
      <c r="AJ15" s="2"/>
      <c r="AK15" s="2"/>
      <c r="AL15" s="2"/>
      <c r="AM15" s="2"/>
      <c r="AN15" s="788"/>
      <c r="AO15" s="2"/>
      <c r="AT15" s="608"/>
      <c r="BP15" s="786"/>
      <c r="BQ15" s="784"/>
      <c r="BR15" s="784"/>
      <c r="BS15" s="784"/>
      <c r="BT15" s="785"/>
      <c r="CK15" s="586"/>
      <c r="CL15" s="765"/>
      <c r="CM15" s="765"/>
      <c r="CN15" s="765"/>
      <c r="CO15" s="765"/>
      <c r="CP15" s="765"/>
      <c r="CQ15" s="765"/>
      <c r="CR15" s="765"/>
      <c r="CS15" s="765"/>
      <c r="CT15" s="765"/>
      <c r="CU15" s="765"/>
      <c r="CV15" s="765"/>
      <c r="CW15" s="765"/>
      <c r="CX15" s="765"/>
      <c r="CY15" s="765"/>
      <c r="CZ15" s="765"/>
    </row>
    <row r="16" spans="2:104" ht="34.95" customHeight="1" thickBot="1">
      <c r="B16" s="1552"/>
      <c r="C16" s="575"/>
      <c r="D16" s="576"/>
      <c r="E16" s="1530"/>
      <c r="F16" s="1531"/>
      <c r="G16" s="1531"/>
      <c r="H16" s="1531"/>
      <c r="I16" s="1531"/>
      <c r="J16" s="1531"/>
      <c r="K16" s="1531"/>
      <c r="L16" s="1531"/>
      <c r="M16" s="1531"/>
      <c r="N16" s="1531"/>
      <c r="O16" s="1531"/>
      <c r="P16" s="1532"/>
      <c r="Q16" s="1531"/>
      <c r="R16" s="1531"/>
      <c r="S16" s="1531"/>
      <c r="T16" s="1531"/>
      <c r="U16" s="1531"/>
      <c r="V16" s="1531"/>
      <c r="W16" s="1531"/>
      <c r="X16" s="1531"/>
      <c r="Y16" s="1531"/>
      <c r="Z16" s="1531"/>
      <c r="AA16" s="1531"/>
      <c r="AB16" s="1532"/>
      <c r="AC16" s="1530"/>
      <c r="AD16" s="1531"/>
      <c r="AE16" s="1531"/>
      <c r="AF16" s="1531"/>
      <c r="AG16" s="1531"/>
      <c r="AH16" s="1531"/>
      <c r="AI16" s="1531"/>
      <c r="AJ16" s="1531"/>
      <c r="AK16" s="1531"/>
      <c r="AL16" s="1531"/>
      <c r="AM16" s="1531"/>
      <c r="AN16" s="1532"/>
      <c r="AO16" s="1530"/>
      <c r="AP16" s="1531"/>
      <c r="AQ16" s="1531"/>
      <c r="AR16" s="1531"/>
      <c r="AS16" s="1531"/>
      <c r="AT16" s="1531"/>
      <c r="AU16" s="1531"/>
      <c r="AV16" s="1531"/>
      <c r="AW16" s="1531"/>
      <c r="AX16" s="1531"/>
      <c r="AY16" s="1531"/>
      <c r="AZ16" s="1532"/>
      <c r="BA16" s="1530"/>
      <c r="BB16" s="1531"/>
      <c r="BC16" s="1531"/>
      <c r="BD16" s="1531"/>
      <c r="BE16" s="1531"/>
      <c r="BF16" s="1531"/>
      <c r="BG16" s="1531"/>
      <c r="BH16" s="1531"/>
      <c r="BI16" s="1531"/>
      <c r="BJ16" s="1531"/>
      <c r="BK16" s="1531"/>
      <c r="BL16" s="1532"/>
      <c r="BP16" s="783"/>
      <c r="BQ16" s="781"/>
      <c r="BR16" s="781"/>
      <c r="BS16" s="781"/>
      <c r="BT16" s="782"/>
      <c r="CK16" s="586"/>
      <c r="CL16" s="765"/>
      <c r="CM16" s="765"/>
      <c r="CN16" s="765"/>
      <c r="CO16" s="765"/>
      <c r="CP16" s="765"/>
      <c r="CQ16" s="765"/>
      <c r="CR16" s="765"/>
      <c r="CS16" s="765"/>
      <c r="CT16" s="765"/>
      <c r="CU16" s="765"/>
      <c r="CV16" s="765"/>
      <c r="CW16" s="765"/>
      <c r="CX16" s="765"/>
      <c r="CY16" s="765"/>
      <c r="CZ16" s="765"/>
    </row>
    <row r="17" spans="2:104" ht="19.95" customHeight="1" thickBot="1">
      <c r="B17" s="1553"/>
      <c r="C17" s="577"/>
      <c r="D17" s="578"/>
      <c r="E17" s="1533"/>
      <c r="F17" s="1534"/>
      <c r="G17" s="1535"/>
      <c r="H17" s="1536"/>
      <c r="I17" s="1534"/>
      <c r="J17" s="1535"/>
      <c r="K17" s="1536"/>
      <c r="L17" s="1534"/>
      <c r="M17" s="1535"/>
      <c r="N17" s="1534"/>
      <c r="O17" s="1534"/>
      <c r="P17" s="1537"/>
      <c r="Q17" s="1534"/>
      <c r="R17" s="1534"/>
      <c r="S17" s="1535"/>
      <c r="T17" s="1536"/>
      <c r="U17" s="1534"/>
      <c r="V17" s="1535"/>
      <c r="W17" s="1536"/>
      <c r="X17" s="1534"/>
      <c r="Y17" s="1535"/>
      <c r="Z17" s="1536"/>
      <c r="AA17" s="1534"/>
      <c r="AB17" s="1537"/>
      <c r="AC17" s="1533"/>
      <c r="AD17" s="1534"/>
      <c r="AE17" s="1535"/>
      <c r="AF17" s="1536"/>
      <c r="AG17" s="1534"/>
      <c r="AH17" s="1535"/>
      <c r="AI17" s="1536"/>
      <c r="AJ17" s="1534"/>
      <c r="AK17" s="1535"/>
      <c r="AL17" s="1536"/>
      <c r="AM17" s="1534"/>
      <c r="AN17" s="1537"/>
      <c r="AO17" s="1533"/>
      <c r="AP17" s="1534"/>
      <c r="AQ17" s="1535"/>
      <c r="AR17" s="1536"/>
      <c r="AS17" s="1534"/>
      <c r="AT17" s="1535"/>
      <c r="AU17" s="1536"/>
      <c r="AV17" s="1534"/>
      <c r="AW17" s="1535"/>
      <c r="AX17" s="1536"/>
      <c r="AY17" s="1534"/>
      <c r="AZ17" s="1537"/>
      <c r="BA17" s="1533"/>
      <c r="BB17" s="1534"/>
      <c r="BC17" s="1535"/>
      <c r="BD17" s="1536"/>
      <c r="BE17" s="1534"/>
      <c r="BF17" s="1535"/>
      <c r="BG17" s="1536"/>
      <c r="BH17" s="1534"/>
      <c r="BI17" s="1535"/>
      <c r="BJ17" s="1536"/>
      <c r="BK17" s="1534"/>
      <c r="BL17" s="1537"/>
      <c r="CK17" s="586"/>
      <c r="CL17" s="765"/>
      <c r="CM17" s="765"/>
      <c r="CN17" s="765"/>
      <c r="CO17" s="765"/>
      <c r="CP17" s="765"/>
      <c r="CQ17" s="765"/>
      <c r="CR17" s="765"/>
      <c r="CS17" s="765"/>
      <c r="CT17" s="765"/>
      <c r="CU17" s="765"/>
      <c r="CV17" s="765"/>
      <c r="CW17" s="765"/>
      <c r="CX17" s="765"/>
      <c r="CY17" s="765"/>
      <c r="CZ17" s="765"/>
    </row>
    <row r="18" spans="2:104" ht="24" customHeight="1" thickBot="1">
      <c r="B18" s="1553"/>
      <c r="C18" s="579"/>
      <c r="D18" s="580"/>
      <c r="E18" s="581"/>
      <c r="F18" s="582"/>
      <c r="G18" s="583"/>
      <c r="H18" s="584"/>
      <c r="I18" s="582"/>
      <c r="J18" s="583"/>
      <c r="K18" s="584"/>
      <c r="L18" s="582"/>
      <c r="M18" s="583"/>
      <c r="N18" s="582"/>
      <c r="O18" s="582"/>
      <c r="P18" s="585"/>
      <c r="Q18" s="581"/>
      <c r="R18" s="582"/>
      <c r="S18" s="583"/>
      <c r="T18" s="584"/>
      <c r="U18" s="582"/>
      <c r="V18" s="583"/>
      <c r="W18" s="584"/>
      <c r="X18" s="582"/>
      <c r="Y18" s="583"/>
      <c r="Z18" s="582"/>
      <c r="AA18" s="582"/>
      <c r="AB18" s="585"/>
      <c r="AC18" s="581"/>
      <c r="AD18" s="582"/>
      <c r="AE18" s="583"/>
      <c r="AF18" s="584"/>
      <c r="AG18" s="582"/>
      <c r="AH18" s="583"/>
      <c r="AI18" s="584"/>
      <c r="AJ18" s="582"/>
      <c r="AK18" s="583"/>
      <c r="AL18" s="582"/>
      <c r="AM18" s="582"/>
      <c r="AN18" s="585"/>
      <c r="AO18" s="581"/>
      <c r="AP18" s="582"/>
      <c r="AQ18" s="583"/>
      <c r="AR18" s="584"/>
      <c r="AS18" s="582"/>
      <c r="AT18" s="583"/>
      <c r="AU18" s="584"/>
      <c r="AV18" s="582"/>
      <c r="AW18" s="583"/>
      <c r="AX18" s="582"/>
      <c r="AY18" s="582"/>
      <c r="AZ18" s="585"/>
      <c r="BA18" s="581"/>
      <c r="BB18" s="582"/>
      <c r="BC18" s="583"/>
      <c r="BD18" s="584"/>
      <c r="BE18" s="582"/>
      <c r="BF18" s="583"/>
      <c r="BG18" s="584"/>
      <c r="BH18" s="582"/>
      <c r="BI18" s="583"/>
      <c r="BJ18" s="582"/>
      <c r="BK18" s="582"/>
      <c r="BL18" s="585"/>
      <c r="BQ18" s="875"/>
      <c r="CK18" s="586"/>
      <c r="CL18" s="765"/>
      <c r="CM18" s="765"/>
      <c r="CN18" s="765"/>
      <c r="CO18" s="765"/>
      <c r="CP18" s="765"/>
      <c r="CQ18" s="765"/>
      <c r="CR18" s="765"/>
      <c r="CS18" s="765"/>
      <c r="CT18" s="765"/>
      <c r="CU18" s="765"/>
      <c r="CV18" s="765"/>
      <c r="CW18" s="765"/>
      <c r="CX18" s="765"/>
      <c r="CY18" s="765"/>
      <c r="CZ18" s="765"/>
    </row>
    <row r="19" spans="1:107" s="589" customFormat="1" ht="21" customHeight="1" thickBot="1">
      <c r="A19" s="586"/>
      <c r="B19" s="1553"/>
      <c r="C19" s="587"/>
      <c r="D19" s="588"/>
      <c r="E19" s="717"/>
      <c r="F19" s="718"/>
      <c r="G19" s="719"/>
      <c r="H19" s="720"/>
      <c r="I19" s="718"/>
      <c r="J19" s="719"/>
      <c r="K19" s="720"/>
      <c r="L19" s="718"/>
      <c r="M19" s="719"/>
      <c r="N19" s="718"/>
      <c r="O19" s="718"/>
      <c r="P19" s="721"/>
      <c r="Q19" s="717"/>
      <c r="R19" s="718"/>
      <c r="S19" s="719"/>
      <c r="T19" s="850"/>
      <c r="U19" s="851"/>
      <c r="V19" s="852"/>
      <c r="W19" s="850"/>
      <c r="X19" s="851"/>
      <c r="Y19" s="852"/>
      <c r="Z19" s="851"/>
      <c r="AA19" s="851"/>
      <c r="AB19" s="853"/>
      <c r="AC19" s="854"/>
      <c r="AD19" s="851"/>
      <c r="AE19" s="852"/>
      <c r="AF19" s="850"/>
      <c r="AG19" s="851"/>
      <c r="AH19" s="852"/>
      <c r="AI19" s="850"/>
      <c r="AJ19" s="851"/>
      <c r="AK19" s="852"/>
      <c r="AL19" s="851"/>
      <c r="AM19" s="851"/>
      <c r="AN19" s="853"/>
      <c r="AO19" s="854"/>
      <c r="AP19" s="851"/>
      <c r="AQ19" s="852"/>
      <c r="AR19" s="850"/>
      <c r="AS19" s="851"/>
      <c r="AT19" s="852"/>
      <c r="AU19" s="850"/>
      <c r="AV19" s="851"/>
      <c r="AW19" s="852"/>
      <c r="AX19" s="851"/>
      <c r="AY19" s="851"/>
      <c r="AZ19" s="853"/>
      <c r="BA19" s="854"/>
      <c r="BB19" s="851"/>
      <c r="BC19" s="852"/>
      <c r="BD19" s="850"/>
      <c r="BE19" s="851"/>
      <c r="BF19" s="852"/>
      <c r="BG19" s="850"/>
      <c r="BH19" s="851"/>
      <c r="BI19" s="852"/>
      <c r="BJ19" s="851"/>
      <c r="BK19" s="851"/>
      <c r="BL19" s="853"/>
      <c r="BM19" s="586"/>
      <c r="BN19" s="586"/>
      <c r="BO19" s="586"/>
      <c r="BP19" s="586"/>
      <c r="BQ19" s="586"/>
      <c r="BR19" s="586"/>
      <c r="BS19" s="586"/>
      <c r="BT19" s="586"/>
      <c r="BU19" s="586"/>
      <c r="BV19" s="586"/>
      <c r="BW19" s="586"/>
      <c r="BX19" s="586"/>
      <c r="BY19" s="586"/>
      <c r="BZ19" s="586"/>
      <c r="CA19" s="586"/>
      <c r="CB19" s="586"/>
      <c r="CC19" s="586"/>
      <c r="CD19" s="586"/>
      <c r="CE19" s="586"/>
      <c r="CF19" s="586"/>
      <c r="CG19" s="586"/>
      <c r="CH19" s="586"/>
      <c r="CI19" s="586"/>
      <c r="CJ19" s="586"/>
      <c r="CK19" s="586"/>
      <c r="CL19" s="765"/>
      <c r="CM19" s="765"/>
      <c r="CN19" s="765"/>
      <c r="CO19" s="765"/>
      <c r="CP19" s="765"/>
      <c r="CQ19" s="765"/>
      <c r="CR19" s="765"/>
      <c r="CS19" s="765"/>
      <c r="CT19" s="765"/>
      <c r="CU19" s="765"/>
      <c r="CV19" s="765"/>
      <c r="CW19" s="765"/>
      <c r="CX19" s="765"/>
      <c r="CY19" s="765"/>
      <c r="CZ19" s="765"/>
      <c r="DA19" s="586"/>
      <c r="DB19" s="586"/>
      <c r="DC19" s="586"/>
    </row>
    <row r="20" spans="2:104" s="790" customFormat="1" ht="21" customHeight="1" thickBot="1">
      <c r="B20" s="1553"/>
      <c r="C20" s="791"/>
      <c r="D20" s="767"/>
      <c r="E20" s="768"/>
      <c r="F20" s="769"/>
      <c r="G20" s="770"/>
      <c r="H20" s="771"/>
      <c r="I20" s="769"/>
      <c r="J20" s="770"/>
      <c r="K20" s="771"/>
      <c r="L20" s="769"/>
      <c r="M20" s="770"/>
      <c r="N20" s="769"/>
      <c r="O20" s="769"/>
      <c r="P20" s="772"/>
      <c r="Q20" s="774"/>
      <c r="R20" s="769"/>
      <c r="S20" s="770"/>
      <c r="T20" s="771"/>
      <c r="U20" s="769"/>
      <c r="V20" s="770"/>
      <c r="W20" s="771"/>
      <c r="X20" s="769"/>
      <c r="Y20" s="770"/>
      <c r="Z20" s="769"/>
      <c r="AA20" s="769"/>
      <c r="AB20" s="772"/>
      <c r="AC20" s="768"/>
      <c r="AD20" s="769"/>
      <c r="AE20" s="770"/>
      <c r="AF20" s="771"/>
      <c r="AG20" s="769"/>
      <c r="AH20" s="770"/>
      <c r="AI20" s="771"/>
      <c r="AJ20" s="769"/>
      <c r="AK20" s="770"/>
      <c r="AL20" s="769"/>
      <c r="AM20" s="769"/>
      <c r="AN20" s="772"/>
      <c r="AO20" s="768"/>
      <c r="AP20" s="769"/>
      <c r="AQ20" s="770"/>
      <c r="AR20" s="771"/>
      <c r="AS20" s="769"/>
      <c r="AT20" s="770"/>
      <c r="AU20" s="771"/>
      <c r="AV20" s="769"/>
      <c r="AW20" s="770"/>
      <c r="AX20" s="769"/>
      <c r="AY20" s="769"/>
      <c r="AZ20" s="772"/>
      <c r="BA20" s="768"/>
      <c r="BB20" s="769"/>
      <c r="BC20" s="770"/>
      <c r="BD20" s="771"/>
      <c r="BE20" s="769"/>
      <c r="BF20" s="770"/>
      <c r="BG20" s="771"/>
      <c r="BH20" s="769"/>
      <c r="BI20" s="770"/>
      <c r="BJ20" s="769"/>
      <c r="BK20" s="769"/>
      <c r="BL20" s="772"/>
      <c r="BP20" s="1560"/>
      <c r="BQ20" s="1538"/>
      <c r="BR20" s="1539"/>
      <c r="BS20" s="1538"/>
      <c r="BT20" s="1540"/>
      <c r="BU20" s="1539"/>
      <c r="BV20" s="1538"/>
      <c r="BW20" s="1539"/>
      <c r="BX20" s="1538"/>
      <c r="BY20" s="1539"/>
      <c r="CL20" s="765"/>
      <c r="CM20" s="765"/>
      <c r="CN20" s="765"/>
      <c r="CO20" s="765"/>
      <c r="CP20" s="765"/>
      <c r="CQ20" s="765"/>
      <c r="CR20" s="765"/>
      <c r="CS20" s="765"/>
      <c r="CT20" s="765"/>
      <c r="CU20" s="765"/>
      <c r="CV20" s="765"/>
      <c r="CW20" s="765"/>
      <c r="CX20" s="765"/>
      <c r="CY20" s="765"/>
      <c r="CZ20" s="765"/>
    </row>
    <row r="21" spans="2:104" s="586" customFormat="1" ht="21" customHeight="1" thickBot="1">
      <c r="B21" s="1553"/>
      <c r="C21" s="664"/>
      <c r="D21" s="590"/>
      <c r="E21" s="595"/>
      <c r="F21" s="592"/>
      <c r="G21" s="593"/>
      <c r="H21" s="591"/>
      <c r="I21" s="592"/>
      <c r="J21" s="593"/>
      <c r="K21" s="591"/>
      <c r="L21" s="592"/>
      <c r="M21" s="593"/>
      <c r="N21" s="592"/>
      <c r="O21" s="592"/>
      <c r="P21" s="594"/>
      <c r="Q21" s="595"/>
      <c r="R21" s="592"/>
      <c r="S21" s="593"/>
      <c r="T21" s="591"/>
      <c r="U21" s="592"/>
      <c r="V21" s="593"/>
      <c r="W21" s="591"/>
      <c r="X21" s="592"/>
      <c r="Y21" s="593"/>
      <c r="Z21" s="592"/>
      <c r="AA21" s="592"/>
      <c r="AB21" s="594"/>
      <c r="AC21" s="789"/>
      <c r="AD21" s="592"/>
      <c r="AE21" s="593"/>
      <c r="AF21" s="591"/>
      <c r="AG21" s="592"/>
      <c r="AH21" s="593"/>
      <c r="AI21" s="591"/>
      <c r="AJ21" s="592"/>
      <c r="AK21" s="593"/>
      <c r="AL21" s="592"/>
      <c r="AM21" s="592"/>
      <c r="AN21" s="594"/>
      <c r="AO21" s="595"/>
      <c r="AP21" s="592"/>
      <c r="AQ21" s="593"/>
      <c r="AR21" s="591"/>
      <c r="AS21" s="592"/>
      <c r="AT21" s="593"/>
      <c r="AU21" s="591"/>
      <c r="AV21" s="592"/>
      <c r="AW21" s="593"/>
      <c r="AX21" s="592"/>
      <c r="AY21" s="592"/>
      <c r="AZ21" s="594"/>
      <c r="BA21" s="595"/>
      <c r="BB21" s="592"/>
      <c r="BC21" s="593"/>
      <c r="BD21" s="591"/>
      <c r="BE21" s="592"/>
      <c r="BF21" s="593"/>
      <c r="BG21" s="591"/>
      <c r="BH21" s="592"/>
      <c r="BI21" s="593"/>
      <c r="BJ21" s="592"/>
      <c r="BK21" s="592"/>
      <c r="BL21" s="594"/>
      <c r="BP21" s="1561"/>
      <c r="BQ21" s="1541"/>
      <c r="BR21" s="1541"/>
      <c r="BS21" s="1542"/>
      <c r="BT21" s="1541"/>
      <c r="BU21" s="1543"/>
      <c r="BV21" s="1544"/>
      <c r="BW21" s="1545"/>
      <c r="BX21" s="1558"/>
      <c r="BY21" s="1559"/>
      <c r="CL21" s="765"/>
      <c r="CM21" s="765"/>
      <c r="CN21" s="765"/>
      <c r="CO21" s="765"/>
      <c r="CP21" s="765"/>
      <c r="CQ21" s="765"/>
      <c r="CR21" s="765"/>
      <c r="CS21" s="765"/>
      <c r="CT21" s="765"/>
      <c r="CU21" s="765"/>
      <c r="CV21" s="765"/>
      <c r="CW21" s="765"/>
      <c r="CX21" s="765"/>
      <c r="CY21" s="765"/>
      <c r="CZ21" s="765"/>
    </row>
    <row r="22" spans="2:104" s="586" customFormat="1" ht="21" customHeight="1" thickBot="1">
      <c r="B22" s="1553"/>
      <c r="C22" s="664"/>
      <c r="D22" s="590"/>
      <c r="E22" s="595"/>
      <c r="F22" s="592"/>
      <c r="G22" s="593"/>
      <c r="H22" s="591"/>
      <c r="I22" s="592"/>
      <c r="J22" s="593"/>
      <c r="K22" s="591"/>
      <c r="L22" s="592"/>
      <c r="M22" s="593"/>
      <c r="N22" s="592"/>
      <c r="O22" s="592"/>
      <c r="P22" s="594"/>
      <c r="Q22" s="595"/>
      <c r="R22" s="592"/>
      <c r="S22" s="593"/>
      <c r="T22" s="591"/>
      <c r="U22" s="592"/>
      <c r="V22" s="593"/>
      <c r="W22" s="591"/>
      <c r="X22" s="592"/>
      <c r="Y22" s="593"/>
      <c r="Z22" s="592"/>
      <c r="AA22" s="592"/>
      <c r="AB22" s="594"/>
      <c r="AC22" s="595"/>
      <c r="AD22" s="592"/>
      <c r="AE22" s="593"/>
      <c r="AF22" s="591"/>
      <c r="AG22" s="592"/>
      <c r="AH22" s="593"/>
      <c r="AI22" s="591"/>
      <c r="AJ22" s="592"/>
      <c r="AK22" s="593"/>
      <c r="AL22" s="592"/>
      <c r="AM22" s="592"/>
      <c r="AN22" s="594"/>
      <c r="AO22" s="595"/>
      <c r="AP22" s="592"/>
      <c r="AQ22" s="593"/>
      <c r="AR22" s="591"/>
      <c r="AS22" s="592"/>
      <c r="AT22" s="593"/>
      <c r="AU22" s="591"/>
      <c r="AV22" s="592"/>
      <c r="AW22" s="593"/>
      <c r="AX22" s="592"/>
      <c r="AY22" s="592"/>
      <c r="AZ22" s="594"/>
      <c r="BA22" s="595"/>
      <c r="BB22" s="592"/>
      <c r="BC22" s="593"/>
      <c r="BD22" s="591"/>
      <c r="BE22" s="592"/>
      <c r="BF22" s="593"/>
      <c r="BG22" s="591"/>
      <c r="BH22" s="592"/>
      <c r="BI22" s="593"/>
      <c r="BJ22" s="592"/>
      <c r="BK22" s="592"/>
      <c r="BL22" s="594"/>
      <c r="BM22" s="642"/>
      <c r="BN22" s="642"/>
      <c r="BO22" s="642"/>
      <c r="BP22" s="642"/>
      <c r="BQ22" s="642"/>
      <c r="BR22" s="642"/>
      <c r="BS22" s="642"/>
      <c r="BT22" s="642"/>
      <c r="BU22" s="642"/>
      <c r="BV22" s="642"/>
      <c r="BW22" s="642"/>
      <c r="BX22" s="642"/>
      <c r="BY22" s="642"/>
      <c r="BZ22" s="642"/>
      <c r="CA22" s="642"/>
      <c r="CB22" s="642"/>
      <c r="CC22" s="642"/>
      <c r="CD22" s="642"/>
      <c r="CL22" s="765"/>
      <c r="CM22" s="765"/>
      <c r="CN22" s="765"/>
      <c r="CO22" s="765"/>
      <c r="CP22" s="765"/>
      <c r="CQ22" s="765"/>
      <c r="CR22" s="765"/>
      <c r="CS22" s="765"/>
      <c r="CT22" s="765"/>
      <c r="CU22" s="765"/>
      <c r="CV22" s="765"/>
      <c r="CW22" s="765"/>
      <c r="CX22" s="765"/>
      <c r="CY22" s="765"/>
      <c r="CZ22" s="765"/>
    </row>
    <row r="23" spans="2:104" s="586" customFormat="1" ht="21" customHeight="1" hidden="1" thickBot="1">
      <c r="B23" s="1553"/>
      <c r="C23" s="664"/>
      <c r="D23" s="590"/>
      <c r="E23" s="595"/>
      <c r="F23" s="592"/>
      <c r="G23" s="593"/>
      <c r="H23" s="591"/>
      <c r="I23" s="592"/>
      <c r="J23" s="593"/>
      <c r="K23" s="591"/>
      <c r="L23" s="592"/>
      <c r="M23" s="593"/>
      <c r="N23" s="592"/>
      <c r="O23" s="592"/>
      <c r="P23" s="594"/>
      <c r="Q23" s="595"/>
      <c r="R23" s="592"/>
      <c r="S23" s="593"/>
      <c r="T23" s="591"/>
      <c r="U23" s="592"/>
      <c r="V23" s="593"/>
      <c r="W23" s="591"/>
      <c r="X23" s="592"/>
      <c r="Y23" s="593"/>
      <c r="Z23" s="592"/>
      <c r="AA23" s="592"/>
      <c r="AB23" s="594"/>
      <c r="AC23" s="595"/>
      <c r="AD23" s="592"/>
      <c r="AE23" s="593"/>
      <c r="AF23" s="591"/>
      <c r="AG23" s="592"/>
      <c r="AH23" s="593"/>
      <c r="AI23" s="591"/>
      <c r="AJ23" s="592"/>
      <c r="AK23" s="593"/>
      <c r="AL23" s="592"/>
      <c r="AM23" s="592"/>
      <c r="AN23" s="594"/>
      <c r="AO23" s="595"/>
      <c r="AP23" s="592"/>
      <c r="AQ23" s="593"/>
      <c r="AR23" s="591"/>
      <c r="AS23" s="592"/>
      <c r="AT23" s="593"/>
      <c r="AU23" s="591"/>
      <c r="AV23" s="592"/>
      <c r="AW23" s="593"/>
      <c r="AX23" s="592"/>
      <c r="AY23" s="592"/>
      <c r="AZ23" s="594"/>
      <c r="BA23" s="595"/>
      <c r="BB23" s="592"/>
      <c r="BC23" s="593"/>
      <c r="BD23" s="591"/>
      <c r="BE23" s="592"/>
      <c r="BF23" s="593"/>
      <c r="BG23" s="591"/>
      <c r="BH23" s="592"/>
      <c r="BI23" s="593"/>
      <c r="BJ23" s="592"/>
      <c r="BK23" s="592"/>
      <c r="BL23" s="594"/>
      <c r="BM23" s="642"/>
      <c r="BN23" s="642"/>
      <c r="BO23" s="642"/>
      <c r="BP23" s="642"/>
      <c r="BQ23" s="642"/>
      <c r="BR23" s="642"/>
      <c r="BS23" s="642"/>
      <c r="BT23" s="642"/>
      <c r="BU23" s="642"/>
      <c r="BV23" s="642"/>
      <c r="BW23" s="642"/>
      <c r="BX23" s="642"/>
      <c r="BY23" s="642"/>
      <c r="BZ23" s="642"/>
      <c r="CA23" s="642"/>
      <c r="CB23" s="642"/>
      <c r="CC23" s="642"/>
      <c r="CD23" s="642"/>
      <c r="CL23" s="765"/>
      <c r="CM23" s="765"/>
      <c r="CN23" s="765"/>
      <c r="CO23" s="765"/>
      <c r="CP23" s="765"/>
      <c r="CQ23" s="765"/>
      <c r="CR23" s="765"/>
      <c r="CS23" s="765"/>
      <c r="CT23" s="765"/>
      <c r="CU23" s="765"/>
      <c r="CV23" s="765"/>
      <c r="CW23" s="765"/>
      <c r="CX23" s="765"/>
      <c r="CY23" s="765"/>
      <c r="CZ23" s="765"/>
    </row>
    <row r="24" spans="2:82" s="586" customFormat="1" ht="21" customHeight="1" thickBot="1">
      <c r="B24" s="1554"/>
      <c r="C24" s="428"/>
      <c r="D24" s="601"/>
      <c r="E24" s="602"/>
      <c r="F24" s="603"/>
      <c r="G24" s="604"/>
      <c r="H24" s="605"/>
      <c r="I24" s="603"/>
      <c r="J24" s="604"/>
      <c r="K24" s="605"/>
      <c r="L24" s="603"/>
      <c r="M24" s="604"/>
      <c r="N24" s="603"/>
      <c r="O24" s="603"/>
      <c r="P24" s="606"/>
      <c r="Q24" s="602"/>
      <c r="R24" s="603"/>
      <c r="S24" s="604"/>
      <c r="T24" s="605"/>
      <c r="U24" s="603"/>
      <c r="V24" s="604"/>
      <c r="W24" s="605"/>
      <c r="X24" s="603"/>
      <c r="Y24" s="604"/>
      <c r="Z24" s="603"/>
      <c r="AA24" s="603"/>
      <c r="AB24" s="606"/>
      <c r="AC24" s="602"/>
      <c r="AD24" s="603"/>
      <c r="AE24" s="604"/>
      <c r="AF24" s="605"/>
      <c r="AG24" s="603"/>
      <c r="AH24" s="604"/>
      <c r="AI24" s="605"/>
      <c r="AJ24" s="603"/>
      <c r="AK24" s="604"/>
      <c r="AL24" s="603"/>
      <c r="AM24" s="603"/>
      <c r="AN24" s="606"/>
      <c r="AO24" s="602"/>
      <c r="AP24" s="603"/>
      <c r="AQ24" s="604"/>
      <c r="AR24" s="605"/>
      <c r="AS24" s="603"/>
      <c r="AT24" s="604"/>
      <c r="AU24" s="605"/>
      <c r="AV24" s="603"/>
      <c r="AW24" s="604"/>
      <c r="AX24" s="603"/>
      <c r="AY24" s="603"/>
      <c r="AZ24" s="606"/>
      <c r="BA24" s="787"/>
      <c r="BB24" s="603"/>
      <c r="BC24" s="604"/>
      <c r="BD24" s="605"/>
      <c r="BE24" s="603"/>
      <c r="BF24" s="604"/>
      <c r="BG24" s="605"/>
      <c r="BH24" s="603"/>
      <c r="BI24" s="604"/>
      <c r="BJ24" s="603"/>
      <c r="BK24" s="603"/>
      <c r="BL24" s="606"/>
      <c r="BM24" s="731"/>
      <c r="BN24" s="731"/>
      <c r="BO24" s="731"/>
      <c r="BP24" s="731"/>
      <c r="BQ24" s="731"/>
      <c r="BR24" s="731"/>
      <c r="BS24" s="731"/>
      <c r="BT24" s="731"/>
      <c r="BU24" s="731"/>
      <c r="BV24" s="731"/>
      <c r="BW24" s="731"/>
      <c r="BX24" s="731"/>
      <c r="BY24" s="731"/>
      <c r="BZ24" s="731"/>
      <c r="CA24" s="731"/>
      <c r="CB24" s="731"/>
      <c r="CC24" s="731"/>
      <c r="CD24" s="731"/>
    </row>
    <row r="25" spans="2:46" ht="15.75">
      <c r="B25" s="548"/>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T25" s="608"/>
    </row>
    <row r="26" spans="2:64" ht="16.05" customHeight="1" hidden="1">
      <c r="B26" s="1555"/>
      <c r="C26" s="575"/>
      <c r="D26" s="576"/>
      <c r="E26" s="1530"/>
      <c r="F26" s="1531"/>
      <c r="G26" s="1531"/>
      <c r="H26" s="1531"/>
      <c r="I26" s="1531"/>
      <c r="J26" s="1531"/>
      <c r="K26" s="1531"/>
      <c r="L26" s="1531"/>
      <c r="M26" s="1531"/>
      <c r="N26" s="1531"/>
      <c r="O26" s="1531"/>
      <c r="P26" s="1532"/>
      <c r="Q26" s="1531"/>
      <c r="R26" s="1531"/>
      <c r="S26" s="1531"/>
      <c r="T26" s="1531"/>
      <c r="U26" s="1531"/>
      <c r="V26" s="1531"/>
      <c r="W26" s="1531"/>
      <c r="X26" s="1531"/>
      <c r="Y26" s="1531"/>
      <c r="Z26" s="1531"/>
      <c r="AA26" s="1531"/>
      <c r="AB26" s="1532"/>
      <c r="AC26" s="1530"/>
      <c r="AD26" s="1531"/>
      <c r="AE26" s="1531"/>
      <c r="AF26" s="1531"/>
      <c r="AG26" s="1531"/>
      <c r="AH26" s="1531"/>
      <c r="AI26" s="1531"/>
      <c r="AJ26" s="1531"/>
      <c r="AK26" s="1531"/>
      <c r="AL26" s="1531"/>
      <c r="AM26" s="1531"/>
      <c r="AN26" s="1532"/>
      <c r="AO26" s="1530"/>
      <c r="AP26" s="1531"/>
      <c r="AQ26" s="1531"/>
      <c r="AR26" s="1531"/>
      <c r="AS26" s="1531"/>
      <c r="AT26" s="1531"/>
      <c r="AU26" s="1531"/>
      <c r="AV26" s="1531"/>
      <c r="AW26" s="1531"/>
      <c r="AX26" s="1531"/>
      <c r="AY26" s="1531"/>
      <c r="AZ26" s="1532"/>
      <c r="BA26" s="1530"/>
      <c r="BB26" s="1531"/>
      <c r="BC26" s="1531"/>
      <c r="BD26" s="1531"/>
      <c r="BE26" s="1531"/>
      <c r="BF26" s="1531"/>
      <c r="BG26" s="1531"/>
      <c r="BH26" s="1531"/>
      <c r="BI26" s="1531"/>
      <c r="BJ26" s="1531"/>
      <c r="BK26" s="1531"/>
      <c r="BL26" s="1532"/>
    </row>
    <row r="27" spans="2:64" ht="16.2" hidden="1" thickBot="1">
      <c r="B27" s="1556"/>
      <c r="C27" s="577"/>
      <c r="D27" s="578"/>
      <c r="E27" s="1533"/>
      <c r="F27" s="1534"/>
      <c r="G27" s="1535"/>
      <c r="H27" s="1536"/>
      <c r="I27" s="1534"/>
      <c r="J27" s="1535"/>
      <c r="K27" s="1536"/>
      <c r="L27" s="1534"/>
      <c r="M27" s="1535"/>
      <c r="N27" s="1534"/>
      <c r="O27" s="1534"/>
      <c r="P27" s="1537"/>
      <c r="Q27" s="1534"/>
      <c r="R27" s="1534"/>
      <c r="S27" s="1535"/>
      <c r="T27" s="1536"/>
      <c r="U27" s="1534"/>
      <c r="V27" s="1535"/>
      <c r="W27" s="1536"/>
      <c r="X27" s="1534"/>
      <c r="Y27" s="1535"/>
      <c r="Z27" s="1536"/>
      <c r="AA27" s="1534"/>
      <c r="AB27" s="1537"/>
      <c r="AC27" s="1533"/>
      <c r="AD27" s="1534"/>
      <c r="AE27" s="1535"/>
      <c r="AF27" s="1536"/>
      <c r="AG27" s="1534"/>
      <c r="AH27" s="1535"/>
      <c r="AI27" s="1536"/>
      <c r="AJ27" s="1534"/>
      <c r="AK27" s="1535"/>
      <c r="AL27" s="1536"/>
      <c r="AM27" s="1534"/>
      <c r="AN27" s="1537"/>
      <c r="AO27" s="1533"/>
      <c r="AP27" s="1534"/>
      <c r="AQ27" s="1535"/>
      <c r="AR27" s="1536"/>
      <c r="AS27" s="1534"/>
      <c r="AT27" s="1535"/>
      <c r="AU27" s="1536"/>
      <c r="AV27" s="1534"/>
      <c r="AW27" s="1535"/>
      <c r="AX27" s="1536"/>
      <c r="AY27" s="1534"/>
      <c r="AZ27" s="1537"/>
      <c r="BA27" s="1533"/>
      <c r="BB27" s="1534"/>
      <c r="BC27" s="1535"/>
      <c r="BD27" s="1536"/>
      <c r="BE27" s="1534"/>
      <c r="BF27" s="1535"/>
      <c r="BG27" s="1536"/>
      <c r="BH27" s="1534"/>
      <c r="BI27" s="1535"/>
      <c r="BJ27" s="1536"/>
      <c r="BK27" s="1534"/>
      <c r="BL27" s="1537"/>
    </row>
    <row r="28" spans="2:64" ht="16.2" hidden="1" thickBot="1">
      <c r="B28" s="1556"/>
      <c r="C28" s="579"/>
      <c r="D28" s="580"/>
      <c r="E28" s="581"/>
      <c r="F28" s="582"/>
      <c r="G28" s="583"/>
      <c r="H28" s="584"/>
      <c r="I28" s="582"/>
      <c r="J28" s="583"/>
      <c r="K28" s="584"/>
      <c r="L28" s="582"/>
      <c r="M28" s="583"/>
      <c r="N28" s="582"/>
      <c r="O28" s="582"/>
      <c r="P28" s="585"/>
      <c r="Q28" s="581"/>
      <c r="R28" s="582"/>
      <c r="S28" s="583"/>
      <c r="T28" s="584"/>
      <c r="U28" s="582"/>
      <c r="V28" s="583"/>
      <c r="W28" s="584"/>
      <c r="X28" s="582"/>
      <c r="Y28" s="583"/>
      <c r="Z28" s="582"/>
      <c r="AA28" s="582"/>
      <c r="AB28" s="585"/>
      <c r="AC28" s="581"/>
      <c r="AD28" s="582"/>
      <c r="AE28" s="583"/>
      <c r="AF28" s="584"/>
      <c r="AG28" s="582"/>
      <c r="AH28" s="583"/>
      <c r="AI28" s="584"/>
      <c r="AJ28" s="582"/>
      <c r="AK28" s="583"/>
      <c r="AL28" s="582"/>
      <c r="AM28" s="582"/>
      <c r="AN28" s="585"/>
      <c r="AO28" s="581"/>
      <c r="AP28" s="582"/>
      <c r="AQ28" s="583"/>
      <c r="AR28" s="584"/>
      <c r="AS28" s="582"/>
      <c r="AT28" s="583"/>
      <c r="AU28" s="584"/>
      <c r="AV28" s="582"/>
      <c r="AW28" s="583"/>
      <c r="AX28" s="582"/>
      <c r="AY28" s="582"/>
      <c r="AZ28" s="585"/>
      <c r="BA28" s="581"/>
      <c r="BB28" s="582"/>
      <c r="BC28" s="583"/>
      <c r="BD28" s="584"/>
      <c r="BE28" s="582"/>
      <c r="BF28" s="583"/>
      <c r="BG28" s="584"/>
      <c r="BH28" s="582"/>
      <c r="BI28" s="583"/>
      <c r="BJ28" s="582"/>
      <c r="BK28" s="582"/>
      <c r="BL28" s="585"/>
    </row>
    <row r="29" spans="2:64" ht="16.95" customHeight="1" hidden="1" thickBot="1">
      <c r="B29" s="1557"/>
      <c r="C29" s="428"/>
      <c r="D29" s="601"/>
      <c r="E29" s="602"/>
      <c r="F29" s="603"/>
      <c r="G29" s="604"/>
      <c r="H29" s="605"/>
      <c r="I29" s="603"/>
      <c r="J29" s="604"/>
      <c r="K29" s="605"/>
      <c r="L29" s="603"/>
      <c r="M29" s="604"/>
      <c r="N29" s="603"/>
      <c r="O29" s="603"/>
      <c r="P29" s="606"/>
      <c r="Q29" s="602"/>
      <c r="R29" s="603"/>
      <c r="S29" s="604"/>
      <c r="T29" s="605"/>
      <c r="U29" s="603"/>
      <c r="V29" s="604"/>
      <c r="W29" s="605"/>
      <c r="X29" s="603"/>
      <c r="Y29" s="604"/>
      <c r="Z29" s="603"/>
      <c r="AA29" s="603"/>
      <c r="AB29" s="606"/>
      <c r="AC29" s="602"/>
      <c r="AD29" s="603"/>
      <c r="AE29" s="604"/>
      <c r="AF29" s="605"/>
      <c r="AG29" s="603"/>
      <c r="AH29" s="604"/>
      <c r="AI29" s="605"/>
      <c r="AJ29" s="603"/>
      <c r="AK29" s="604"/>
      <c r="AL29" s="603"/>
      <c r="AM29" s="603"/>
      <c r="AN29" s="606"/>
      <c r="AO29" s="602"/>
      <c r="AP29" s="603"/>
      <c r="AQ29" s="604"/>
      <c r="AR29" s="605"/>
      <c r="AS29" s="603"/>
      <c r="AT29" s="604"/>
      <c r="AU29" s="605"/>
      <c r="AV29" s="603"/>
      <c r="AW29" s="604"/>
      <c r="AX29" s="603"/>
      <c r="AY29" s="603"/>
      <c r="AZ29" s="606"/>
      <c r="BA29" s="602"/>
      <c r="BB29" s="603"/>
      <c r="BC29" s="604"/>
      <c r="BD29" s="605"/>
      <c r="BE29" s="603"/>
      <c r="BF29" s="604"/>
      <c r="BG29" s="605"/>
      <c r="BH29" s="603"/>
      <c r="BI29" s="604"/>
      <c r="BJ29" s="603"/>
      <c r="BK29" s="603"/>
      <c r="BL29" s="606"/>
    </row>
    <row r="30" spans="2:46" ht="16.2" hidden="1" thickBot="1">
      <c r="B30" s="609"/>
      <c r="C30" s="609"/>
      <c r="D30" s="610"/>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611"/>
      <c r="AP30" s="611"/>
      <c r="AQ30" s="611"/>
      <c r="AR30" s="611"/>
      <c r="AT30" s="608"/>
    </row>
    <row r="31" spans="2:64" ht="16.05" customHeight="1" hidden="1">
      <c r="B31" s="1555"/>
      <c r="C31" s="575"/>
      <c r="D31" s="576"/>
      <c r="E31" s="1530"/>
      <c r="F31" s="1531"/>
      <c r="G31" s="1531"/>
      <c r="H31" s="1531"/>
      <c r="I31" s="1531"/>
      <c r="J31" s="1531"/>
      <c r="K31" s="1531"/>
      <c r="L31" s="1531"/>
      <c r="M31" s="1531"/>
      <c r="N31" s="1531"/>
      <c r="O31" s="1531"/>
      <c r="P31" s="1532"/>
      <c r="Q31" s="1531"/>
      <c r="R31" s="1531"/>
      <c r="S31" s="1531"/>
      <c r="T31" s="1531"/>
      <c r="U31" s="1531"/>
      <c r="V31" s="1531"/>
      <c r="W31" s="1531"/>
      <c r="X31" s="1531"/>
      <c r="Y31" s="1531"/>
      <c r="Z31" s="1531"/>
      <c r="AA31" s="1531"/>
      <c r="AB31" s="1532"/>
      <c r="AC31" s="1530"/>
      <c r="AD31" s="1531"/>
      <c r="AE31" s="1531"/>
      <c r="AF31" s="1531"/>
      <c r="AG31" s="1531"/>
      <c r="AH31" s="1531"/>
      <c r="AI31" s="1531"/>
      <c r="AJ31" s="1531"/>
      <c r="AK31" s="1531"/>
      <c r="AL31" s="1531"/>
      <c r="AM31" s="1531"/>
      <c r="AN31" s="1532"/>
      <c r="AO31" s="1530"/>
      <c r="AP31" s="1531"/>
      <c r="AQ31" s="1531"/>
      <c r="AR31" s="1531"/>
      <c r="AS31" s="1531"/>
      <c r="AT31" s="1531"/>
      <c r="AU31" s="1531"/>
      <c r="AV31" s="1531"/>
      <c r="AW31" s="1531"/>
      <c r="AX31" s="1531"/>
      <c r="AY31" s="1531"/>
      <c r="AZ31" s="1532"/>
      <c r="BA31" s="1530"/>
      <c r="BB31" s="1531"/>
      <c r="BC31" s="1531"/>
      <c r="BD31" s="1531"/>
      <c r="BE31" s="1531"/>
      <c r="BF31" s="1531"/>
      <c r="BG31" s="1531"/>
      <c r="BH31" s="1531"/>
      <c r="BI31" s="1531"/>
      <c r="BJ31" s="1531"/>
      <c r="BK31" s="1531"/>
      <c r="BL31" s="1532"/>
    </row>
    <row r="32" spans="2:64" ht="16.2" hidden="1" thickBot="1">
      <c r="B32" s="1556"/>
      <c r="C32" s="577"/>
      <c r="D32" s="578"/>
      <c r="E32" s="1533"/>
      <c r="F32" s="1534"/>
      <c r="G32" s="1535"/>
      <c r="H32" s="1536"/>
      <c r="I32" s="1534"/>
      <c r="J32" s="1535"/>
      <c r="K32" s="1536"/>
      <c r="L32" s="1534"/>
      <c r="M32" s="1535"/>
      <c r="N32" s="1534"/>
      <c r="O32" s="1534"/>
      <c r="P32" s="1537"/>
      <c r="Q32" s="1534"/>
      <c r="R32" s="1534"/>
      <c r="S32" s="1535"/>
      <c r="T32" s="1536"/>
      <c r="U32" s="1534"/>
      <c r="V32" s="1535"/>
      <c r="W32" s="1536"/>
      <c r="X32" s="1534"/>
      <c r="Y32" s="1535"/>
      <c r="Z32" s="1536"/>
      <c r="AA32" s="1534"/>
      <c r="AB32" s="1537"/>
      <c r="AC32" s="1533"/>
      <c r="AD32" s="1534"/>
      <c r="AE32" s="1535"/>
      <c r="AF32" s="1536"/>
      <c r="AG32" s="1534"/>
      <c r="AH32" s="1535"/>
      <c r="AI32" s="1536"/>
      <c r="AJ32" s="1534"/>
      <c r="AK32" s="1535"/>
      <c r="AL32" s="1536"/>
      <c r="AM32" s="1534"/>
      <c r="AN32" s="1537"/>
      <c r="AO32" s="1533"/>
      <c r="AP32" s="1534"/>
      <c r="AQ32" s="1535"/>
      <c r="AR32" s="1536"/>
      <c r="AS32" s="1534"/>
      <c r="AT32" s="1535"/>
      <c r="AU32" s="1536"/>
      <c r="AV32" s="1534"/>
      <c r="AW32" s="1535"/>
      <c r="AX32" s="1536"/>
      <c r="AY32" s="1534"/>
      <c r="AZ32" s="1537"/>
      <c r="BA32" s="1533"/>
      <c r="BB32" s="1534"/>
      <c r="BC32" s="1535"/>
      <c r="BD32" s="1536"/>
      <c r="BE32" s="1534"/>
      <c r="BF32" s="1535"/>
      <c r="BG32" s="1536"/>
      <c r="BH32" s="1534"/>
      <c r="BI32" s="1535"/>
      <c r="BJ32" s="1536"/>
      <c r="BK32" s="1534"/>
      <c r="BL32" s="1537"/>
    </row>
    <row r="33" spans="2:64" ht="16.2" hidden="1" thickBot="1">
      <c r="B33" s="1556"/>
      <c r="C33" s="579"/>
      <c r="D33" s="580"/>
      <c r="E33" s="581"/>
      <c r="F33" s="582"/>
      <c r="G33" s="583"/>
      <c r="H33" s="584"/>
      <c r="I33" s="582"/>
      <c r="J33" s="583"/>
      <c r="K33" s="584"/>
      <c r="L33" s="582"/>
      <c r="M33" s="583"/>
      <c r="N33" s="582"/>
      <c r="O33" s="582"/>
      <c r="P33" s="585"/>
      <c r="Q33" s="581"/>
      <c r="R33" s="582"/>
      <c r="S33" s="583"/>
      <c r="T33" s="584"/>
      <c r="U33" s="582"/>
      <c r="V33" s="583"/>
      <c r="W33" s="584"/>
      <c r="X33" s="582"/>
      <c r="Y33" s="583"/>
      <c r="Z33" s="582"/>
      <c r="AA33" s="582"/>
      <c r="AB33" s="585"/>
      <c r="AC33" s="581"/>
      <c r="AD33" s="582"/>
      <c r="AE33" s="583"/>
      <c r="AF33" s="584"/>
      <c r="AG33" s="582"/>
      <c r="AH33" s="583"/>
      <c r="AI33" s="584"/>
      <c r="AJ33" s="582"/>
      <c r="AK33" s="583"/>
      <c r="AL33" s="582"/>
      <c r="AM33" s="582"/>
      <c r="AN33" s="585"/>
      <c r="AO33" s="581"/>
      <c r="AP33" s="582"/>
      <c r="AQ33" s="583"/>
      <c r="AR33" s="584"/>
      <c r="AS33" s="582"/>
      <c r="AT33" s="583"/>
      <c r="AU33" s="584"/>
      <c r="AV33" s="582"/>
      <c r="AW33" s="583"/>
      <c r="AX33" s="582"/>
      <c r="AY33" s="582"/>
      <c r="AZ33" s="585"/>
      <c r="BA33" s="581"/>
      <c r="BB33" s="582"/>
      <c r="BC33" s="583"/>
      <c r="BD33" s="584"/>
      <c r="BE33" s="582"/>
      <c r="BF33" s="583"/>
      <c r="BG33" s="584"/>
      <c r="BH33" s="582"/>
      <c r="BI33" s="583"/>
      <c r="BJ33" s="582"/>
      <c r="BK33" s="582"/>
      <c r="BL33" s="585"/>
    </row>
    <row r="34" spans="2:64" ht="16.95" customHeight="1" hidden="1" thickBot="1">
      <c r="B34" s="1557"/>
      <c r="C34" s="428"/>
      <c r="D34" s="601"/>
      <c r="E34" s="602"/>
      <c r="F34" s="603"/>
      <c r="G34" s="604"/>
      <c r="H34" s="605"/>
      <c r="I34" s="603"/>
      <c r="J34" s="604"/>
      <c r="K34" s="605"/>
      <c r="L34" s="603"/>
      <c r="M34" s="604"/>
      <c r="N34" s="603"/>
      <c r="O34" s="603"/>
      <c r="P34" s="606"/>
      <c r="Q34" s="602"/>
      <c r="R34" s="603"/>
      <c r="S34" s="604"/>
      <c r="T34" s="605"/>
      <c r="U34" s="603"/>
      <c r="V34" s="604"/>
      <c r="W34" s="605"/>
      <c r="X34" s="603"/>
      <c r="Y34" s="604"/>
      <c r="Z34" s="603"/>
      <c r="AA34" s="603"/>
      <c r="AB34" s="606"/>
      <c r="AC34" s="602"/>
      <c r="AD34" s="603"/>
      <c r="AE34" s="604"/>
      <c r="AF34" s="605"/>
      <c r="AG34" s="603"/>
      <c r="AH34" s="604"/>
      <c r="AI34" s="605"/>
      <c r="AJ34" s="603"/>
      <c r="AK34" s="604"/>
      <c r="AL34" s="603"/>
      <c r="AM34" s="603"/>
      <c r="AN34" s="606"/>
      <c r="AO34" s="602"/>
      <c r="AP34" s="603"/>
      <c r="AQ34" s="604"/>
      <c r="AR34" s="605"/>
      <c r="AS34" s="603"/>
      <c r="AT34" s="604"/>
      <c r="AU34" s="605"/>
      <c r="AV34" s="603"/>
      <c r="AW34" s="604"/>
      <c r="AX34" s="603"/>
      <c r="AY34" s="603"/>
      <c r="AZ34" s="606"/>
      <c r="BA34" s="602"/>
      <c r="BB34" s="603"/>
      <c r="BC34" s="604"/>
      <c r="BD34" s="605"/>
      <c r="BE34" s="603"/>
      <c r="BF34" s="604"/>
      <c r="BG34" s="605"/>
      <c r="BH34" s="603"/>
      <c r="BI34" s="604"/>
      <c r="BJ34" s="603"/>
      <c r="BK34" s="603"/>
      <c r="BL34" s="606"/>
    </row>
    <row r="35" spans="2:46" ht="16.2" thickBot="1">
      <c r="B35" s="612"/>
      <c r="C35" s="612"/>
      <c r="D35" s="613"/>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42"/>
      <c r="AP35" s="642"/>
      <c r="AQ35" s="642"/>
      <c r="AR35" s="642"/>
      <c r="AT35" s="608"/>
    </row>
    <row r="36" spans="2:64" s="586" customFormat="1" ht="30" customHeight="1" thickBot="1">
      <c r="B36" s="1548"/>
      <c r="C36" s="1549"/>
      <c r="D36" s="615"/>
      <c r="E36" s="616"/>
      <c r="F36" s="617"/>
      <c r="G36" s="618"/>
      <c r="H36" s="619"/>
      <c r="I36" s="617"/>
      <c r="J36" s="618"/>
      <c r="K36" s="619"/>
      <c r="L36" s="617"/>
      <c r="M36" s="618"/>
      <c r="N36" s="617"/>
      <c r="O36" s="617"/>
      <c r="P36" s="620"/>
      <c r="Q36" s="616"/>
      <c r="R36" s="617"/>
      <c r="S36" s="618"/>
      <c r="T36" s="619"/>
      <c r="U36" s="617"/>
      <c r="V36" s="618"/>
      <c r="W36" s="619"/>
      <c r="X36" s="617"/>
      <c r="Y36" s="618"/>
      <c r="Z36" s="617"/>
      <c r="AA36" s="617"/>
      <c r="AB36" s="620"/>
      <c r="AC36" s="616"/>
      <c r="AD36" s="617"/>
      <c r="AE36" s="618"/>
      <c r="AF36" s="619"/>
      <c r="AG36" s="617"/>
      <c r="AH36" s="618"/>
      <c r="AI36" s="619"/>
      <c r="AJ36" s="617"/>
      <c r="AK36" s="618"/>
      <c r="AL36" s="617"/>
      <c r="AM36" s="617"/>
      <c r="AN36" s="620"/>
      <c r="AO36" s="597"/>
      <c r="AP36" s="598"/>
      <c r="AQ36" s="599"/>
      <c r="AR36" s="600"/>
      <c r="AS36" s="598"/>
      <c r="AT36" s="599"/>
      <c r="AU36" s="600"/>
      <c r="AV36" s="598"/>
      <c r="AW36" s="599"/>
      <c r="AX36" s="598"/>
      <c r="AY36" s="598"/>
      <c r="AZ36" s="596"/>
      <c r="BA36" s="597"/>
      <c r="BB36" s="598"/>
      <c r="BC36" s="599"/>
      <c r="BD36" s="600"/>
      <c r="BE36" s="598"/>
      <c r="BF36" s="599"/>
      <c r="BG36" s="600"/>
      <c r="BH36" s="598"/>
      <c r="BI36" s="599"/>
      <c r="BJ36" s="598"/>
      <c r="BK36" s="598"/>
      <c r="BL36" s="596"/>
    </row>
    <row r="38" spans="2:44" ht="34.95" customHeight="1">
      <c r="B38" s="1550"/>
      <c r="C38" s="1551"/>
      <c r="D38" s="1551"/>
      <c r="E38" s="1534"/>
      <c r="F38" s="1534"/>
      <c r="G38" s="1534"/>
      <c r="H38" s="1534"/>
      <c r="I38" s="1534"/>
      <c r="J38" s="1534"/>
      <c r="K38" s="1534"/>
      <c r="L38" s="1534"/>
      <c r="M38" s="1534"/>
      <c r="N38" s="1534"/>
      <c r="O38" s="1534"/>
      <c r="P38" s="1534"/>
      <c r="Q38" s="1534"/>
      <c r="R38" s="1534"/>
      <c r="S38" s="1534"/>
      <c r="T38" s="1534"/>
      <c r="U38" s="1534"/>
      <c r="V38" s="1534"/>
      <c r="W38" s="1534"/>
      <c r="X38" s="1534"/>
      <c r="Y38" s="1534"/>
      <c r="Z38" s="1534"/>
      <c r="AA38" s="1534"/>
      <c r="AB38" s="1534"/>
      <c r="AD38" s="548"/>
      <c r="AE38" s="548"/>
      <c r="AF38" s="548"/>
      <c r="AG38" s="548"/>
      <c r="AH38" s="548"/>
      <c r="AI38" s="548"/>
      <c r="AJ38" s="548"/>
      <c r="AK38" s="548"/>
      <c r="AL38" s="548"/>
      <c r="AM38" s="548"/>
      <c r="AN38" s="548"/>
      <c r="AO38" s="548"/>
      <c r="AP38" s="621"/>
      <c r="AQ38" s="621"/>
      <c r="AR38" s="621"/>
    </row>
    <row r="39" spans="2:41" ht="19.95" customHeight="1">
      <c r="B39" s="1550"/>
      <c r="C39" s="1551"/>
      <c r="D39" s="1551"/>
      <c r="E39" s="113"/>
      <c r="F39" s="548"/>
      <c r="G39" s="113"/>
      <c r="H39" s="1534"/>
      <c r="I39" s="1534"/>
      <c r="J39" s="1534"/>
      <c r="K39" s="1534"/>
      <c r="L39" s="1534"/>
      <c r="M39" s="1534"/>
      <c r="N39" s="1534"/>
      <c r="O39" s="1534"/>
      <c r="P39" s="1534"/>
      <c r="Q39" s="1534"/>
      <c r="R39" s="1534"/>
      <c r="S39" s="1534"/>
      <c r="T39" s="1534"/>
      <c r="U39" s="1534"/>
      <c r="V39" s="1534"/>
      <c r="W39" s="1534"/>
      <c r="X39" s="1534"/>
      <c r="Y39" s="1534"/>
      <c r="Z39" s="1534"/>
      <c r="AA39" s="1534"/>
      <c r="AB39" s="1534"/>
      <c r="AC39" s="1534"/>
      <c r="AD39" s="1534"/>
      <c r="AE39" s="1534"/>
      <c r="AF39" s="1534"/>
      <c r="AG39" s="1534"/>
      <c r="AH39" s="1534"/>
      <c r="AI39" s="1534"/>
      <c r="AJ39" s="1534"/>
      <c r="AK39" s="1534"/>
      <c r="AL39" s="1534"/>
      <c r="AM39" s="1534"/>
      <c r="AN39" s="1534"/>
      <c r="AO39" s="548"/>
    </row>
    <row r="40" spans="2:41" ht="24" customHeight="1">
      <c r="B40" s="1550"/>
      <c r="C40" s="622"/>
      <c r="D40" s="62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2"/>
      <c r="AL40" s="582"/>
      <c r="AM40" s="582"/>
      <c r="AN40" s="582"/>
      <c r="AO40" s="582"/>
    </row>
    <row r="41" spans="2:44" s="586" customFormat="1" ht="21" customHeight="1">
      <c r="B41" s="1547"/>
      <c r="C41" s="623"/>
      <c r="D41" s="624"/>
      <c r="E41" s="625"/>
      <c r="F41" s="625"/>
      <c r="G41" s="625"/>
      <c r="H41" s="625"/>
      <c r="I41" s="62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25"/>
      <c r="AL41" s="625"/>
      <c r="AM41" s="625"/>
      <c r="AN41" s="625"/>
      <c r="AO41" s="625"/>
      <c r="AP41" s="625"/>
      <c r="AQ41" s="625"/>
      <c r="AR41" s="625"/>
    </row>
    <row r="42" spans="2:44" s="586" customFormat="1" ht="21" customHeight="1">
      <c r="B42" s="1547"/>
      <c r="C42" s="623"/>
      <c r="D42" s="624"/>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625"/>
      <c r="AC42" s="625"/>
      <c r="AD42" s="625"/>
      <c r="AE42" s="625"/>
      <c r="AF42" s="625"/>
      <c r="AG42" s="625"/>
      <c r="AH42" s="625"/>
      <c r="AI42" s="625"/>
      <c r="AJ42" s="625"/>
      <c r="AK42" s="625"/>
      <c r="AL42" s="625"/>
      <c r="AM42" s="625"/>
      <c r="AN42" s="625"/>
      <c r="AO42" s="625"/>
      <c r="AP42" s="625"/>
      <c r="AQ42" s="625"/>
      <c r="AR42" s="625"/>
    </row>
    <row r="43" spans="2:44" s="586" customFormat="1" ht="21" customHeight="1">
      <c r="B43" s="1547"/>
      <c r="C43" s="623"/>
      <c r="D43" s="624"/>
      <c r="E43" s="625"/>
      <c r="F43" s="625"/>
      <c r="G43" s="625"/>
      <c r="H43" s="625"/>
      <c r="I43" s="625"/>
      <c r="J43" s="625"/>
      <c r="K43" s="625"/>
      <c r="L43" s="625"/>
      <c r="M43" s="625"/>
      <c r="N43" s="625"/>
      <c r="O43" s="625"/>
      <c r="P43" s="625"/>
      <c r="Q43" s="625"/>
      <c r="R43" s="625"/>
      <c r="S43" s="625"/>
      <c r="T43" s="625"/>
      <c r="U43" s="625"/>
      <c r="V43" s="625"/>
      <c r="W43" s="625"/>
      <c r="X43" s="625"/>
      <c r="Y43" s="625"/>
      <c r="Z43" s="625"/>
      <c r="AA43" s="625"/>
      <c r="AB43" s="625"/>
      <c r="AC43" s="625"/>
      <c r="AD43" s="625"/>
      <c r="AE43" s="625"/>
      <c r="AF43" s="625"/>
      <c r="AG43" s="625"/>
      <c r="AH43" s="625"/>
      <c r="AI43" s="625"/>
      <c r="AJ43" s="625"/>
      <c r="AK43" s="625"/>
      <c r="AL43" s="625"/>
      <c r="AM43" s="625"/>
      <c r="AN43" s="625"/>
      <c r="AO43" s="625"/>
      <c r="AP43" s="625"/>
      <c r="AQ43" s="625"/>
      <c r="AR43" s="625"/>
    </row>
    <row r="44" spans="2:44" s="586" customFormat="1" ht="21" customHeight="1">
      <c r="B44" s="609"/>
      <c r="C44" s="623"/>
      <c r="D44" s="624"/>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row>
    <row r="45" spans="2:41" s="586" customFormat="1" ht="21" customHeight="1">
      <c r="B45" s="609"/>
      <c r="C45" s="626"/>
      <c r="D45" s="610"/>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1"/>
      <c r="AL45" s="611"/>
      <c r="AM45" s="611"/>
      <c r="AN45" s="611"/>
      <c r="AO45" s="611"/>
    </row>
    <row r="46" spans="2:40" ht="15.75">
      <c r="B46" s="548"/>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2"/>
      <c r="AL46" s="582"/>
      <c r="AM46" s="582"/>
      <c r="AN46" s="582"/>
    </row>
    <row r="47" spans="2:40" ht="15.75">
      <c r="B47" s="548"/>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2"/>
      <c r="AL47" s="582"/>
      <c r="AM47" s="582"/>
      <c r="AN47" s="582"/>
    </row>
    <row r="53" spans="3:7" ht="15.75">
      <c r="C53" s="572"/>
      <c r="D53" s="573"/>
      <c r="E53" s="571"/>
      <c r="F53" s="571"/>
      <c r="G53" s="571"/>
    </row>
    <row r="54" spans="3:7" ht="15.75">
      <c r="C54" s="572"/>
      <c r="D54" s="573"/>
      <c r="E54" s="571"/>
      <c r="F54" s="571"/>
      <c r="G54" s="571"/>
    </row>
    <row r="55" spans="3:7" ht="15.75">
      <c r="C55" s="572"/>
      <c r="D55" s="573"/>
      <c r="E55" s="627"/>
      <c r="F55" s="571"/>
      <c r="G55" s="571"/>
    </row>
    <row r="56" spans="3:7" ht="15.75">
      <c r="C56" s="572"/>
      <c r="D56" s="573"/>
      <c r="E56" s="627"/>
      <c r="F56" s="628"/>
      <c r="G56" s="571"/>
    </row>
    <row r="57" spans="3:7" ht="15.75">
      <c r="C57" s="572"/>
      <c r="D57" s="573"/>
      <c r="E57" s="627"/>
      <c r="F57" s="628"/>
      <c r="G57" s="571"/>
    </row>
    <row r="58" spans="3:7" ht="15.75">
      <c r="C58" s="572"/>
      <c r="D58" s="573"/>
      <c r="E58" s="571"/>
      <c r="F58" s="629"/>
      <c r="G58" s="571"/>
    </row>
    <row r="59" spans="3:7" ht="15.75">
      <c r="C59" s="572"/>
      <c r="D59" s="573"/>
      <c r="E59" s="571"/>
      <c r="F59" s="571"/>
      <c r="G59" s="571"/>
    </row>
    <row r="60" spans="3:7" ht="15.75">
      <c r="C60" s="572"/>
      <c r="D60" s="573"/>
      <c r="E60" s="571"/>
      <c r="F60" s="571"/>
      <c r="G60" s="571"/>
    </row>
  </sheetData>
  <mergeCells count="138">
    <mergeCell ref="CG4:CH4"/>
    <mergeCell ref="B31:B34"/>
    <mergeCell ref="AC16:AN16"/>
    <mergeCell ref="E17:G17"/>
    <mergeCell ref="H17:J17"/>
    <mergeCell ref="K17:M17"/>
    <mergeCell ref="N17:P17"/>
    <mergeCell ref="AI17:AK17"/>
    <mergeCell ref="AL17:AN17"/>
    <mergeCell ref="AC27:AE27"/>
    <mergeCell ref="AF27:AH27"/>
    <mergeCell ref="AI27:AK27"/>
    <mergeCell ref="W27:Y27"/>
    <mergeCell ref="Z27:AB27"/>
    <mergeCell ref="B26:B29"/>
    <mergeCell ref="AO16:AZ16"/>
    <mergeCell ref="AO17:AQ17"/>
    <mergeCell ref="AR17:AT17"/>
    <mergeCell ref="AU17:AW17"/>
    <mergeCell ref="AX17:AZ17"/>
    <mergeCell ref="BX21:BY21"/>
    <mergeCell ref="BP20:BP21"/>
    <mergeCell ref="AO31:AZ31"/>
    <mergeCell ref="AO32:AQ32"/>
    <mergeCell ref="B2:B14"/>
    <mergeCell ref="B16:B24"/>
    <mergeCell ref="AF17:AH17"/>
    <mergeCell ref="E2:P2"/>
    <mergeCell ref="Q2:AB2"/>
    <mergeCell ref="AC2:AN2"/>
    <mergeCell ref="E3:G3"/>
    <mergeCell ref="H3:J3"/>
    <mergeCell ref="K3:M3"/>
    <mergeCell ref="N3:P3"/>
    <mergeCell ref="Q3:S3"/>
    <mergeCell ref="T3:V3"/>
    <mergeCell ref="W3:Y3"/>
    <mergeCell ref="Z3:AB3"/>
    <mergeCell ref="AC3:AE3"/>
    <mergeCell ref="AF3:AH3"/>
    <mergeCell ref="AI3:AK3"/>
    <mergeCell ref="AL3:AN3"/>
    <mergeCell ref="AC17:AE17"/>
    <mergeCell ref="E16:P16"/>
    <mergeCell ref="Q16:AB16"/>
    <mergeCell ref="Q17:S17"/>
    <mergeCell ref="T17:V17"/>
    <mergeCell ref="W17:Y17"/>
    <mergeCell ref="Q27:S27"/>
    <mergeCell ref="T27:V27"/>
    <mergeCell ref="AC26:AN26"/>
    <mergeCell ref="E27:G27"/>
    <mergeCell ref="H27:J27"/>
    <mergeCell ref="AL27:AN27"/>
    <mergeCell ref="E26:P26"/>
    <mergeCell ref="Q26:AB26"/>
    <mergeCell ref="K27:M27"/>
    <mergeCell ref="Z17:AB17"/>
    <mergeCell ref="B36:C36"/>
    <mergeCell ref="B38:B40"/>
    <mergeCell ref="C38:D39"/>
    <mergeCell ref="AL32:AN32"/>
    <mergeCell ref="E31:P31"/>
    <mergeCell ref="Q31:AB31"/>
    <mergeCell ref="AC31:AN31"/>
    <mergeCell ref="E32:G32"/>
    <mergeCell ref="H32:J32"/>
    <mergeCell ref="K32:M32"/>
    <mergeCell ref="N32:P32"/>
    <mergeCell ref="Q32:S32"/>
    <mergeCell ref="T32:V32"/>
    <mergeCell ref="W32:Y32"/>
    <mergeCell ref="Z32:AB32"/>
    <mergeCell ref="AC32:AE32"/>
    <mergeCell ref="AF32:AH32"/>
    <mergeCell ref="AI32:AK32"/>
    <mergeCell ref="AC39:AE39"/>
    <mergeCell ref="AF39:AH39"/>
    <mergeCell ref="AI39:AK39"/>
    <mergeCell ref="AL39:AN39"/>
    <mergeCell ref="N27:P27"/>
    <mergeCell ref="B41:B43"/>
    <mergeCell ref="Q38:AB38"/>
    <mergeCell ref="H39:J39"/>
    <mergeCell ref="K39:M39"/>
    <mergeCell ref="N39:P39"/>
    <mergeCell ref="Q39:S39"/>
    <mergeCell ref="T39:V39"/>
    <mergeCell ref="W39:Y39"/>
    <mergeCell ref="Z39:AB39"/>
    <mergeCell ref="E38:P38"/>
    <mergeCell ref="BA2:BL2"/>
    <mergeCell ref="BA3:BC3"/>
    <mergeCell ref="BD3:BF3"/>
    <mergeCell ref="BG3:BI3"/>
    <mergeCell ref="BJ3:BL3"/>
    <mergeCell ref="AO2:AZ2"/>
    <mergeCell ref="AO3:AQ3"/>
    <mergeCell ref="AR3:AT3"/>
    <mergeCell ref="AU3:AW3"/>
    <mergeCell ref="AX3:AZ3"/>
    <mergeCell ref="AR32:AT32"/>
    <mergeCell ref="AU32:AW32"/>
    <mergeCell ref="AX32:AZ32"/>
    <mergeCell ref="BA26:BL26"/>
    <mergeCell ref="BA27:BC27"/>
    <mergeCell ref="BD27:BF27"/>
    <mergeCell ref="BG27:BI27"/>
    <mergeCell ref="BJ27:BL27"/>
    <mergeCell ref="AO26:AZ26"/>
    <mergeCell ref="AO27:AQ27"/>
    <mergeCell ref="AR27:AT27"/>
    <mergeCell ref="AU27:AW27"/>
    <mergeCell ref="AX27:AZ27"/>
    <mergeCell ref="CG2:CH2"/>
    <mergeCell ref="CG3:CH3"/>
    <mergeCell ref="BZ2:CA2"/>
    <mergeCell ref="BP7:BP9"/>
    <mergeCell ref="BQ7:BQ9"/>
    <mergeCell ref="BR7:BR9"/>
    <mergeCell ref="BP2:BR2"/>
    <mergeCell ref="BA31:BL31"/>
    <mergeCell ref="BA32:BC32"/>
    <mergeCell ref="BD32:BF32"/>
    <mergeCell ref="BG32:BI32"/>
    <mergeCell ref="BJ32:BL32"/>
    <mergeCell ref="BA16:BL16"/>
    <mergeCell ref="BA17:BC17"/>
    <mergeCell ref="BD17:BF17"/>
    <mergeCell ref="BG17:BI17"/>
    <mergeCell ref="BJ17:BL17"/>
    <mergeCell ref="BQ20:BR20"/>
    <mergeCell ref="BS20:BU20"/>
    <mergeCell ref="BV20:BW20"/>
    <mergeCell ref="BX20:BY20"/>
    <mergeCell ref="BQ21:BR21"/>
    <mergeCell ref="BS21:BU21"/>
    <mergeCell ref="BV21:BW21"/>
  </mergeCells>
  <printOptions/>
  <pageMargins left="0.7" right="0.7" top="0.75" bottom="0.75" header="0.3" footer="0.3"/>
  <pageSetup horizontalDpi="360" verticalDpi="360" orientation="portrait" paperSize="9"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84"/>
  <sheetViews>
    <sheetView zoomScale="60" zoomScaleNormal="60" zoomScalePageLayoutView="60" workbookViewId="0" topLeftCell="A1">
      <pane xSplit="2" ySplit="3" topLeftCell="C73" activePane="bottomRight" state="frozen"/>
      <selection pane="topRight" activeCell="C1" sqref="C1"/>
      <selection pane="bottomLeft" activeCell="A4" sqref="A4"/>
      <selection pane="bottomRight" activeCell="D110" sqref="D110"/>
    </sheetView>
  </sheetViews>
  <sheetFormatPr defaultColWidth="10.75390625" defaultRowHeight="15.75"/>
  <cols>
    <col min="1" max="1" width="8.75390625" style="4" customWidth="1"/>
    <col min="2" max="2" width="67.25390625" style="4" customWidth="1"/>
    <col min="3" max="8" width="20.75390625" style="243" customWidth="1"/>
    <col min="9" max="9" width="14.00390625" style="557" customWidth="1"/>
    <col min="10" max="10" width="14.00390625" style="4" customWidth="1"/>
    <col min="11" max="11" width="39.00390625" style="4" bestFit="1" customWidth="1"/>
    <col min="12" max="15" width="16.75390625" style="4" customWidth="1"/>
    <col min="16" max="28" width="20.25390625" style="4" customWidth="1"/>
    <col min="29" max="74" width="15.75390625" style="4" customWidth="1"/>
    <col min="75" max="16384" width="10.75390625" style="4" customWidth="1"/>
  </cols>
  <sheetData>
    <row r="1" ht="18.6" thickBot="1">
      <c r="A1" s="864"/>
    </row>
    <row r="2" spans="1:8" ht="45" customHeight="1" thickBot="1">
      <c r="A2" s="657"/>
      <c r="B2" s="359" t="s">
        <v>58</v>
      </c>
      <c r="C2" s="360"/>
      <c r="D2" s="360"/>
      <c r="E2" s="356"/>
      <c r="F2" s="356"/>
      <c r="G2" s="356"/>
      <c r="H2" s="403"/>
    </row>
    <row r="3" spans="1:9" s="264" customFormat="1" ht="22.95" customHeight="1" thickBot="1">
      <c r="A3" s="904"/>
      <c r="B3" s="905"/>
      <c r="C3" s="562">
        <v>2019</v>
      </c>
      <c r="D3" s="562">
        <f>1+C3</f>
        <v>2020</v>
      </c>
      <c r="E3" s="910">
        <f aca="true" t="shared" si="0" ref="E3:H3">1+D3</f>
        <v>2021</v>
      </c>
      <c r="F3" s="562">
        <f t="shared" si="0"/>
        <v>2022</v>
      </c>
      <c r="G3" s="910">
        <f t="shared" si="0"/>
        <v>2023</v>
      </c>
      <c r="H3" s="562">
        <f t="shared" si="0"/>
        <v>2024</v>
      </c>
      <c r="I3" s="556" t="s">
        <v>247</v>
      </c>
    </row>
    <row r="4" spans="1:9" s="264" customFormat="1" ht="22.95" customHeight="1">
      <c r="A4" s="904"/>
      <c r="B4" s="911" t="s">
        <v>305</v>
      </c>
      <c r="C4" s="908"/>
      <c r="D4" s="908"/>
      <c r="E4" s="906"/>
      <c r="F4" s="908"/>
      <c r="G4" s="906"/>
      <c r="H4" s="908"/>
      <c r="I4" s="907"/>
    </row>
    <row r="5" spans="1:9" s="264" customFormat="1" ht="22.95" customHeight="1">
      <c r="A5" s="904"/>
      <c r="B5" s="335" t="s">
        <v>308</v>
      </c>
      <c r="C5" s="513"/>
      <c r="D5" s="513"/>
      <c r="E5" s="926"/>
      <c r="F5" s="927"/>
      <c r="G5" s="926"/>
      <c r="H5" s="927"/>
      <c r="I5" s="907"/>
    </row>
    <row r="6" spans="1:9" s="264" customFormat="1" ht="22.95" customHeight="1">
      <c r="A6" s="904"/>
      <c r="B6" s="335" t="s">
        <v>310</v>
      </c>
      <c r="C6" s="513"/>
      <c r="D6" s="513"/>
      <c r="E6" s="926"/>
      <c r="F6" s="927"/>
      <c r="G6" s="926"/>
      <c r="H6" s="927"/>
      <c r="I6" s="907"/>
    </row>
    <row r="7" spans="1:9" s="264" customFormat="1" ht="22.95" customHeight="1">
      <c r="A7" s="904"/>
      <c r="B7" s="335" t="s">
        <v>309</v>
      </c>
      <c r="C7" s="513"/>
      <c r="D7" s="513"/>
      <c r="E7" s="947"/>
      <c r="F7" s="513"/>
      <c r="G7" s="947"/>
      <c r="H7" s="513"/>
      <c r="I7" s="907"/>
    </row>
    <row r="8" spans="1:9" s="264" customFormat="1" ht="22.95" customHeight="1">
      <c r="A8" s="904"/>
      <c r="B8" s="912" t="s">
        <v>307</v>
      </c>
      <c r="C8" s="918"/>
      <c r="D8" s="918"/>
      <c r="E8" s="917" t="e">
        <f aca="true" t="shared" si="1" ref="E8:H8">+E7/E6</f>
        <v>#DIV/0!</v>
      </c>
      <c r="F8" s="918" t="e">
        <f t="shared" si="1"/>
        <v>#DIV/0!</v>
      </c>
      <c r="G8" s="917" t="e">
        <f t="shared" si="1"/>
        <v>#DIV/0!</v>
      </c>
      <c r="H8" s="918" t="e">
        <f t="shared" si="1"/>
        <v>#DIV/0!</v>
      </c>
      <c r="I8" s="907"/>
    </row>
    <row r="9" spans="1:9" s="264" customFormat="1" ht="22.95" customHeight="1">
      <c r="A9" s="904"/>
      <c r="B9" s="336" t="s">
        <v>306</v>
      </c>
      <c r="C9" s="908"/>
      <c r="D9" s="908"/>
      <c r="E9" s="906"/>
      <c r="F9" s="908"/>
      <c r="G9" s="906"/>
      <c r="H9" s="908"/>
      <c r="I9" s="907"/>
    </row>
    <row r="10" spans="1:9" s="264" customFormat="1" ht="22.95" customHeight="1">
      <c r="A10" s="904"/>
      <c r="B10" s="912" t="s">
        <v>308</v>
      </c>
      <c r="C10" s="915"/>
      <c r="D10" s="915"/>
      <c r="E10" s="919"/>
      <c r="F10" s="913"/>
      <c r="G10" s="919"/>
      <c r="H10" s="913"/>
      <c r="I10" s="916"/>
    </row>
    <row r="11" spans="1:9" s="264" customFormat="1" ht="22.95" customHeight="1">
      <c r="A11" s="904"/>
      <c r="B11" s="912" t="s">
        <v>310</v>
      </c>
      <c r="C11" s="915"/>
      <c r="D11" s="915"/>
      <c r="E11" s="919"/>
      <c r="F11" s="913"/>
      <c r="G11" s="919"/>
      <c r="H11" s="913"/>
      <c r="I11" s="916"/>
    </row>
    <row r="12" spans="1:9" s="264" customFormat="1" ht="22.95" customHeight="1">
      <c r="A12" s="904"/>
      <c r="B12" s="912" t="s">
        <v>448</v>
      </c>
      <c r="C12" s="921"/>
      <c r="D12" s="921"/>
      <c r="E12" s="922"/>
      <c r="F12" s="923"/>
      <c r="G12" s="922"/>
      <c r="H12" s="923"/>
      <c r="I12" s="907"/>
    </row>
    <row r="13" spans="1:9" s="264" customFormat="1" ht="22.95" customHeight="1" thickBot="1">
      <c r="A13" s="904"/>
      <c r="B13" s="912" t="s">
        <v>307</v>
      </c>
      <c r="C13" s="924"/>
      <c r="D13" s="924"/>
      <c r="E13" s="925" t="e">
        <f aca="true" t="shared" si="2" ref="E13:H13">+E12/E11</f>
        <v>#DIV/0!</v>
      </c>
      <c r="F13" s="924" t="e">
        <f t="shared" si="2"/>
        <v>#DIV/0!</v>
      </c>
      <c r="G13" s="925" t="e">
        <f t="shared" si="2"/>
        <v>#DIV/0!</v>
      </c>
      <c r="H13" s="924" t="e">
        <f t="shared" si="2"/>
        <v>#DIV/0!</v>
      </c>
      <c r="I13" s="907"/>
    </row>
    <row r="14" spans="1:20" ht="22.95" customHeight="1">
      <c r="A14" s="904"/>
      <c r="B14" s="950" t="s">
        <v>443</v>
      </c>
      <c r="C14" s="952"/>
      <c r="D14" s="793"/>
      <c r="E14" s="794"/>
      <c r="F14" s="793"/>
      <c r="G14" s="794"/>
      <c r="H14" s="793"/>
      <c r="I14" s="558"/>
      <c r="J14" s="550"/>
      <c r="M14" s="551"/>
      <c r="N14" s="469"/>
      <c r="O14" s="469"/>
      <c r="P14" s="469"/>
      <c r="Q14" s="469"/>
      <c r="R14" s="469"/>
      <c r="S14" s="469"/>
      <c r="T14" s="469"/>
    </row>
    <row r="15" spans="1:20" s="3" customFormat="1" ht="25.95" customHeight="1">
      <c r="A15" s="904"/>
      <c r="B15" s="552" t="s">
        <v>484</v>
      </c>
      <c r="C15" s="563"/>
      <c r="D15" s="1466">
        <f>SUM('Revenue Funnel'!D4:O4)</f>
        <v>3</v>
      </c>
      <c r="E15" s="948">
        <f>SUM('Revenue Funnel'!P4:AA4)</f>
        <v>30</v>
      </c>
      <c r="F15" s="949">
        <f>SUM('Revenue Funnel'!AB4:AM4)</f>
        <v>60</v>
      </c>
      <c r="G15" s="948">
        <f>+SUM('Revenue Funnel'!AN4:AY4)</f>
        <v>84</v>
      </c>
      <c r="H15" s="949">
        <f>+SUM('Revenue Funnel'!AZ4:BK4)</f>
        <v>108</v>
      </c>
      <c r="I15" s="561"/>
      <c r="J15" s="553"/>
      <c r="M15" s="551"/>
      <c r="N15" s="469"/>
      <c r="O15" s="469"/>
      <c r="P15" s="469"/>
      <c r="Q15" s="469"/>
      <c r="R15" s="469"/>
      <c r="S15" s="469"/>
      <c r="T15" s="469"/>
    </row>
    <row r="16" spans="1:20" s="3" customFormat="1" ht="25.95" customHeight="1">
      <c r="A16" s="904"/>
      <c r="B16" s="552" t="s">
        <v>483</v>
      </c>
      <c r="C16" s="563"/>
      <c r="D16" s="1466">
        <f>D15</f>
        <v>3</v>
      </c>
      <c r="E16" s="948">
        <f>E15+D15</f>
        <v>33</v>
      </c>
      <c r="F16" s="949">
        <f>E16+F15</f>
        <v>93</v>
      </c>
      <c r="G16" s="948">
        <f aca="true" t="shared" si="3" ref="G16:H16">F16+G15</f>
        <v>177</v>
      </c>
      <c r="H16" s="949">
        <f t="shared" si="3"/>
        <v>285</v>
      </c>
      <c r="I16" s="561"/>
      <c r="J16" s="553"/>
      <c r="M16" s="551"/>
      <c r="N16" s="469"/>
      <c r="O16" s="469"/>
      <c r="P16" s="469"/>
      <c r="Q16" s="469"/>
      <c r="R16" s="469"/>
      <c r="S16" s="469"/>
      <c r="T16" s="469"/>
    </row>
    <row r="17" spans="1:20" s="1367" customFormat="1" ht="25.95" customHeight="1">
      <c r="A17" s="1380"/>
      <c r="B17" s="552" t="s">
        <v>549</v>
      </c>
      <c r="C17" s="563"/>
      <c r="D17" s="1190">
        <v>4</v>
      </c>
      <c r="E17" s="1191">
        <v>5</v>
      </c>
      <c r="F17" s="1459">
        <v>5</v>
      </c>
      <c r="G17" s="1191">
        <v>6</v>
      </c>
      <c r="H17" s="1459">
        <v>7</v>
      </c>
      <c r="I17" s="561"/>
      <c r="J17" s="1376"/>
      <c r="M17" s="551"/>
      <c r="N17" s="469"/>
      <c r="O17" s="469"/>
      <c r="P17" s="469"/>
      <c r="Q17" s="469"/>
      <c r="R17" s="469"/>
      <c r="S17" s="469"/>
      <c r="T17" s="469"/>
    </row>
    <row r="18" spans="1:20" s="3" customFormat="1" ht="25.95" customHeight="1">
      <c r="A18" s="904"/>
      <c r="B18" s="552" t="s">
        <v>550</v>
      </c>
      <c r="C18" s="563"/>
      <c r="D18" s="1466">
        <f>SUM('Revenue Funnel'!D5:O5)</f>
        <v>12</v>
      </c>
      <c r="E18" s="948">
        <f>SUM('Revenue Funnel'!P5:AA5)</f>
        <v>150</v>
      </c>
      <c r="F18" s="949">
        <f>SUM('Revenue Funnel'!AB5:AM5)</f>
        <v>300</v>
      </c>
      <c r="G18" s="948">
        <f>+SUM('Revenue Funnel'!AN5:AY5)</f>
        <v>504</v>
      </c>
      <c r="H18" s="949">
        <f>+SUM('Revenue Funnel'!A5:BK5)</f>
        <v>1722</v>
      </c>
      <c r="I18" s="561"/>
      <c r="J18" s="553"/>
      <c r="M18" s="551"/>
      <c r="N18" s="469"/>
      <c r="O18" s="469"/>
      <c r="P18" s="469"/>
      <c r="Q18" s="469"/>
      <c r="R18" s="469"/>
      <c r="S18" s="469"/>
      <c r="T18" s="469"/>
    </row>
    <row r="19" spans="1:20" s="1367" customFormat="1" ht="25.95" customHeight="1">
      <c r="A19" s="1380"/>
      <c r="B19" s="552" t="s">
        <v>509</v>
      </c>
      <c r="C19" s="563"/>
      <c r="D19" s="1280">
        <v>0.15</v>
      </c>
      <c r="E19" s="1307">
        <f>D19</f>
        <v>0.15</v>
      </c>
      <c r="F19" s="1306">
        <f aca="true" t="shared" si="4" ref="F19:H20">E19</f>
        <v>0.15</v>
      </c>
      <c r="G19" s="1307">
        <f t="shared" si="4"/>
        <v>0.15</v>
      </c>
      <c r="H19" s="1306">
        <f t="shared" si="4"/>
        <v>0.15</v>
      </c>
      <c r="I19" s="561"/>
      <c r="J19" s="1376"/>
      <c r="M19" s="551"/>
      <c r="N19" s="469"/>
      <c r="O19" s="469"/>
      <c r="P19" s="469"/>
      <c r="Q19" s="469"/>
      <c r="R19" s="469"/>
      <c r="S19" s="469"/>
      <c r="T19" s="469"/>
    </row>
    <row r="20" spans="1:20" s="1367" customFormat="1" ht="25.95" customHeight="1">
      <c r="A20" s="1380"/>
      <c r="B20" s="552" t="s">
        <v>510</v>
      </c>
      <c r="C20" s="563"/>
      <c r="D20" s="1280">
        <v>0.8</v>
      </c>
      <c r="E20" s="1307">
        <f>D20</f>
        <v>0.8</v>
      </c>
      <c r="F20" s="1306">
        <f t="shared" si="4"/>
        <v>0.8</v>
      </c>
      <c r="G20" s="1307">
        <f t="shared" si="4"/>
        <v>0.8</v>
      </c>
      <c r="H20" s="1306">
        <f t="shared" si="4"/>
        <v>0.8</v>
      </c>
      <c r="I20" s="561"/>
      <c r="J20" s="1376"/>
      <c r="M20" s="551"/>
      <c r="N20" s="469"/>
      <c r="O20" s="469"/>
      <c r="P20" s="469"/>
      <c r="Q20" s="469"/>
      <c r="R20" s="469"/>
      <c r="S20" s="469"/>
      <c r="T20" s="469"/>
    </row>
    <row r="21" spans="1:20" s="3" customFormat="1" ht="25.95" customHeight="1">
      <c r="A21" s="904"/>
      <c r="B21" s="552" t="s">
        <v>444</v>
      </c>
      <c r="C21" s="660"/>
      <c r="D21" s="1197">
        <v>800</v>
      </c>
      <c r="E21" s="1425">
        <v>800</v>
      </c>
      <c r="F21" s="1426">
        <f>E21*(1+$I$21)</f>
        <v>919.9999999999999</v>
      </c>
      <c r="G21" s="1427">
        <f aca="true" t="shared" si="5" ref="G21:H21">F21*(1+$I$21)</f>
        <v>1057.9999999999998</v>
      </c>
      <c r="H21" s="1426">
        <f t="shared" si="5"/>
        <v>1216.6999999999996</v>
      </c>
      <c r="I21" s="561">
        <v>0.15</v>
      </c>
      <c r="J21" s="553"/>
      <c r="M21" s="551"/>
      <c r="N21" s="469"/>
      <c r="O21" s="469"/>
      <c r="P21" s="469"/>
      <c r="Q21" s="469"/>
      <c r="R21" s="469"/>
      <c r="S21" s="469"/>
      <c r="T21" s="469"/>
    </row>
    <row r="22" spans="1:20" s="3" customFormat="1" ht="25.95" customHeight="1">
      <c r="A22" s="904"/>
      <c r="B22" s="951" t="s">
        <v>556</v>
      </c>
      <c r="C22" s="563"/>
      <c r="D22" s="663">
        <v>250</v>
      </c>
      <c r="E22" s="1196">
        <f>D22</f>
        <v>250</v>
      </c>
      <c r="F22" s="945">
        <f>E22*(1+$I$22)</f>
        <v>300</v>
      </c>
      <c r="G22" s="944">
        <f>F22*(1+$I$22)</f>
        <v>360</v>
      </c>
      <c r="H22" s="945">
        <f>G22*(1+$I$22)</f>
        <v>432</v>
      </c>
      <c r="I22" s="561">
        <v>0.2</v>
      </c>
      <c r="J22" s="553"/>
      <c r="M22" s="551"/>
      <c r="N22" s="469"/>
      <c r="O22" s="469"/>
      <c r="P22" s="469"/>
      <c r="Q22" s="469"/>
      <c r="R22" s="469"/>
      <c r="S22" s="469"/>
      <c r="T22" s="469"/>
    </row>
    <row r="23" spans="1:20" s="3" customFormat="1" ht="22.95" customHeight="1">
      <c r="A23" s="904"/>
      <c r="B23" s="951" t="s">
        <v>557</v>
      </c>
      <c r="C23" s="920"/>
      <c r="D23" s="1197">
        <v>500</v>
      </c>
      <c r="E23" s="1196">
        <f aca="true" t="shared" si="6" ref="E23:F24">D23</f>
        <v>500</v>
      </c>
      <c r="F23" s="945">
        <f>E23*(1+$I$23)</f>
        <v>600</v>
      </c>
      <c r="G23" s="944">
        <f>F23*(1+$I$23)</f>
        <v>720</v>
      </c>
      <c r="H23" s="945">
        <f>G23*(1+$I$23)</f>
        <v>864</v>
      </c>
      <c r="I23" s="561">
        <v>0.2</v>
      </c>
      <c r="J23" s="553"/>
      <c r="M23" s="551"/>
      <c r="N23" s="469"/>
      <c r="O23" s="469"/>
      <c r="P23" s="469"/>
      <c r="Q23" s="469"/>
      <c r="R23" s="469"/>
      <c r="S23" s="469"/>
      <c r="T23" s="469"/>
    </row>
    <row r="24" spans="1:20" s="3" customFormat="1" ht="22.95" customHeight="1">
      <c r="A24" s="904"/>
      <c r="B24" s="951" t="s">
        <v>558</v>
      </c>
      <c r="C24" s="920"/>
      <c r="D24" s="1197">
        <v>1000</v>
      </c>
      <c r="E24" s="1196">
        <f t="shared" si="6"/>
        <v>1000</v>
      </c>
      <c r="F24" s="1194">
        <f t="shared" si="6"/>
        <v>1000</v>
      </c>
      <c r="G24" s="1195">
        <f>F24*(1+$I$24)</f>
        <v>1200</v>
      </c>
      <c r="H24" s="1194">
        <f>G24*(1+$I$24)</f>
        <v>1440</v>
      </c>
      <c r="I24" s="561">
        <v>0.2</v>
      </c>
      <c r="J24" s="553"/>
      <c r="M24" s="551"/>
      <c r="N24" s="469"/>
      <c r="O24" s="469"/>
      <c r="P24" s="469"/>
      <c r="Q24" s="469"/>
      <c r="R24" s="469"/>
      <c r="S24" s="469"/>
      <c r="T24" s="469"/>
    </row>
    <row r="25" spans="1:20" s="3" customFormat="1" ht="22.95" customHeight="1">
      <c r="A25" s="904"/>
      <c r="B25" s="951" t="s">
        <v>445</v>
      </c>
      <c r="C25" s="920"/>
      <c r="D25" s="1198">
        <v>0.4</v>
      </c>
      <c r="E25" s="1199">
        <f>D25</f>
        <v>0.4</v>
      </c>
      <c r="F25" s="1200">
        <f aca="true" t="shared" si="7" ref="F25:H25">E25</f>
        <v>0.4</v>
      </c>
      <c r="G25" s="1201">
        <f t="shared" si="7"/>
        <v>0.4</v>
      </c>
      <c r="H25" s="1200">
        <f t="shared" si="7"/>
        <v>0.4</v>
      </c>
      <c r="I25" s="561"/>
      <c r="J25" s="553"/>
      <c r="M25" s="551"/>
      <c r="N25" s="469"/>
      <c r="O25" s="469"/>
      <c r="P25" s="469"/>
      <c r="Q25" s="469"/>
      <c r="R25" s="469"/>
      <c r="S25" s="469"/>
      <c r="T25" s="469"/>
    </row>
    <row r="26" spans="1:20" s="3" customFormat="1" ht="22.95" customHeight="1">
      <c r="A26" s="904"/>
      <c r="B26" s="951" t="s">
        <v>446</v>
      </c>
      <c r="C26" s="920"/>
      <c r="D26" s="1198">
        <v>0.2</v>
      </c>
      <c r="E26" s="1199">
        <f aca="true" t="shared" si="8" ref="E26:H27">D26</f>
        <v>0.2</v>
      </c>
      <c r="F26" s="1200">
        <f t="shared" si="8"/>
        <v>0.2</v>
      </c>
      <c r="G26" s="1201">
        <f t="shared" si="8"/>
        <v>0.2</v>
      </c>
      <c r="H26" s="1200">
        <f t="shared" si="8"/>
        <v>0.2</v>
      </c>
      <c r="I26" s="561"/>
      <c r="J26" s="553"/>
      <c r="M26" s="551"/>
      <c r="N26" s="469"/>
      <c r="O26" s="469"/>
      <c r="P26" s="469"/>
      <c r="Q26" s="469"/>
      <c r="R26" s="469"/>
      <c r="S26" s="469"/>
      <c r="T26" s="469"/>
    </row>
    <row r="27" spans="1:20" s="3" customFormat="1" ht="22.95" customHeight="1" thickBot="1">
      <c r="A27" s="904"/>
      <c r="B27" s="554" t="s">
        <v>447</v>
      </c>
      <c r="C27" s="1202"/>
      <c r="D27" s="1203">
        <v>0.2</v>
      </c>
      <c r="E27" s="1204">
        <f t="shared" si="8"/>
        <v>0.2</v>
      </c>
      <c r="F27" s="1205">
        <f t="shared" si="8"/>
        <v>0.2</v>
      </c>
      <c r="G27" s="1206">
        <f t="shared" si="8"/>
        <v>0.2</v>
      </c>
      <c r="H27" s="1205">
        <f t="shared" si="8"/>
        <v>0.2</v>
      </c>
      <c r="I27" s="662"/>
      <c r="J27" s="553"/>
      <c r="M27" s="551"/>
      <c r="N27" s="469"/>
      <c r="O27" s="469"/>
      <c r="P27" s="469"/>
      <c r="Q27" s="469"/>
      <c r="R27" s="469"/>
      <c r="S27" s="469"/>
      <c r="T27" s="469"/>
    </row>
    <row r="28" spans="1:20" s="3" customFormat="1" ht="22.95" customHeight="1">
      <c r="A28" s="904"/>
      <c r="B28" s="950" t="s">
        <v>450</v>
      </c>
      <c r="C28" s="920"/>
      <c r="D28" s="920"/>
      <c r="E28" s="932"/>
      <c r="F28" s="792"/>
      <c r="G28" s="933"/>
      <c r="H28" s="792"/>
      <c r="I28" s="561"/>
      <c r="J28" s="553"/>
      <c r="M28" s="551"/>
      <c r="N28" s="469"/>
      <c r="O28" s="469"/>
      <c r="P28" s="469"/>
      <c r="Q28" s="469"/>
      <c r="R28" s="469"/>
      <c r="S28" s="469"/>
      <c r="T28" s="469"/>
    </row>
    <row r="29" spans="1:20" s="3" customFormat="1" ht="22.95" customHeight="1">
      <c r="A29" s="904"/>
      <c r="B29" s="951" t="s">
        <v>451</v>
      </c>
      <c r="C29" s="920"/>
      <c r="D29" s="513">
        <v>5</v>
      </c>
      <c r="E29" s="1219">
        <v>25</v>
      </c>
      <c r="F29" s="659">
        <f>INT(E29*(1+$I$29))</f>
        <v>31</v>
      </c>
      <c r="G29" s="909">
        <f aca="true" t="shared" si="9" ref="G29:H29">INT(F29*(1+$I$29))</f>
        <v>38</v>
      </c>
      <c r="H29" s="659">
        <f t="shared" si="9"/>
        <v>47</v>
      </c>
      <c r="I29" s="561">
        <v>0.25</v>
      </c>
      <c r="J29" s="553"/>
      <c r="M29" s="551"/>
      <c r="N29" s="469"/>
      <c r="O29" s="469"/>
      <c r="P29" s="469"/>
      <c r="Q29" s="469"/>
      <c r="R29" s="469"/>
      <c r="S29" s="469"/>
      <c r="T29" s="469"/>
    </row>
    <row r="30" spans="1:20" s="3" customFormat="1" ht="22.95" customHeight="1">
      <c r="A30" s="904"/>
      <c r="B30" s="951" t="s">
        <v>452</v>
      </c>
      <c r="C30" s="920"/>
      <c r="D30" s="1211">
        <v>9000</v>
      </c>
      <c r="E30" s="1218">
        <f>D30</f>
        <v>9000</v>
      </c>
      <c r="F30" s="1193">
        <f aca="true" t="shared" si="10" ref="F30:H30">E30</f>
        <v>9000</v>
      </c>
      <c r="G30" s="1192">
        <f t="shared" si="10"/>
        <v>9000</v>
      </c>
      <c r="H30" s="1193">
        <f t="shared" si="10"/>
        <v>9000</v>
      </c>
      <c r="I30" s="561"/>
      <c r="J30" s="553"/>
      <c r="M30" s="551"/>
      <c r="N30" s="469"/>
      <c r="O30" s="469"/>
      <c r="P30" s="469"/>
      <c r="Q30" s="469"/>
      <c r="R30" s="469"/>
      <c r="S30" s="469"/>
      <c r="T30" s="469"/>
    </row>
    <row r="31" spans="1:20" s="3" customFormat="1" ht="22.95" customHeight="1">
      <c r="A31" s="904"/>
      <c r="B31" s="552" t="s">
        <v>453</v>
      </c>
      <c r="C31" s="928"/>
      <c r="D31" s="1212">
        <v>2000</v>
      </c>
      <c r="E31" s="1220">
        <f aca="true" t="shared" si="11" ref="E31:H36">D31</f>
        <v>2000</v>
      </c>
      <c r="F31" s="1221">
        <f t="shared" si="11"/>
        <v>2000</v>
      </c>
      <c r="G31" s="1222">
        <f t="shared" si="11"/>
        <v>2000</v>
      </c>
      <c r="H31" s="1221">
        <f t="shared" si="11"/>
        <v>2000</v>
      </c>
      <c r="I31" s="561"/>
      <c r="J31" s="553"/>
      <c r="M31" s="551"/>
      <c r="N31" s="469"/>
      <c r="O31" s="469"/>
      <c r="P31" s="469"/>
      <c r="Q31" s="469"/>
      <c r="R31" s="469"/>
      <c r="S31" s="469"/>
      <c r="T31" s="469"/>
    </row>
    <row r="32" spans="1:20" s="3" customFormat="1" ht="22.95" customHeight="1">
      <c r="A32" s="904"/>
      <c r="B32" s="552" t="s">
        <v>454</v>
      </c>
      <c r="C32" s="660"/>
      <c r="D32" s="795">
        <v>1000</v>
      </c>
      <c r="E32" s="1218">
        <f t="shared" si="11"/>
        <v>1000</v>
      </c>
      <c r="F32" s="1193">
        <f t="shared" si="11"/>
        <v>1000</v>
      </c>
      <c r="G32" s="1192">
        <f t="shared" si="11"/>
        <v>1000</v>
      </c>
      <c r="H32" s="1193">
        <f t="shared" si="11"/>
        <v>1000</v>
      </c>
      <c r="I32" s="561"/>
      <c r="J32" s="553"/>
      <c r="M32" s="551"/>
      <c r="N32" s="469"/>
      <c r="O32" s="469"/>
      <c r="P32" s="469"/>
      <c r="Q32" s="469"/>
      <c r="R32" s="469"/>
      <c r="S32" s="469"/>
      <c r="T32" s="469"/>
    </row>
    <row r="33" spans="1:20" s="3" customFormat="1" ht="22.95" customHeight="1">
      <c r="A33" s="904"/>
      <c r="B33" s="552" t="s">
        <v>455</v>
      </c>
      <c r="C33" s="659"/>
      <c r="D33" s="795">
        <v>500</v>
      </c>
      <c r="E33" s="1218">
        <f t="shared" si="11"/>
        <v>500</v>
      </c>
      <c r="F33" s="1193">
        <f t="shared" si="11"/>
        <v>500</v>
      </c>
      <c r="G33" s="1192">
        <f t="shared" si="11"/>
        <v>500</v>
      </c>
      <c r="H33" s="1193">
        <f t="shared" si="11"/>
        <v>500</v>
      </c>
      <c r="I33" s="561"/>
      <c r="J33" s="553"/>
      <c r="M33" s="551"/>
      <c r="N33" s="469"/>
      <c r="O33" s="469"/>
      <c r="P33" s="469"/>
      <c r="Q33" s="469"/>
      <c r="R33" s="469"/>
      <c r="S33" s="469"/>
      <c r="T33" s="469"/>
    </row>
    <row r="34" spans="1:20" s="3" customFormat="1" ht="22.95" customHeight="1">
      <c r="A34" s="904"/>
      <c r="B34" s="552" t="s">
        <v>465</v>
      </c>
      <c r="C34" s="659"/>
      <c r="D34" s="795">
        <v>500</v>
      </c>
      <c r="E34" s="1218">
        <f t="shared" si="11"/>
        <v>500</v>
      </c>
      <c r="F34" s="1193">
        <f t="shared" si="11"/>
        <v>500</v>
      </c>
      <c r="G34" s="1192">
        <f t="shared" si="11"/>
        <v>500</v>
      </c>
      <c r="H34" s="1193">
        <f t="shared" si="11"/>
        <v>500</v>
      </c>
      <c r="I34" s="561"/>
      <c r="J34" s="553"/>
      <c r="M34" s="551"/>
      <c r="N34" s="469"/>
      <c r="O34" s="469"/>
      <c r="P34" s="469"/>
      <c r="Q34" s="469"/>
      <c r="R34" s="469"/>
      <c r="S34" s="469"/>
      <c r="T34" s="469"/>
    </row>
    <row r="35" spans="1:20" s="3" customFormat="1" ht="22.95" customHeight="1">
      <c r="A35" s="904"/>
      <c r="B35" s="552" t="s">
        <v>466</v>
      </c>
      <c r="C35" s="659"/>
      <c r="D35" s="795">
        <v>1000</v>
      </c>
      <c r="E35" s="1218">
        <f t="shared" si="11"/>
        <v>1000</v>
      </c>
      <c r="F35" s="1193">
        <f t="shared" si="11"/>
        <v>1000</v>
      </c>
      <c r="G35" s="1192">
        <f t="shared" si="11"/>
        <v>1000</v>
      </c>
      <c r="H35" s="1193">
        <f t="shared" si="11"/>
        <v>1000</v>
      </c>
      <c r="I35" s="561"/>
      <c r="J35" s="553"/>
      <c r="M35" s="551"/>
      <c r="N35" s="469"/>
      <c r="O35" s="469"/>
      <c r="P35" s="469"/>
      <c r="Q35" s="469"/>
      <c r="R35" s="469"/>
      <c r="S35" s="469"/>
      <c r="T35" s="469"/>
    </row>
    <row r="36" spans="1:20" s="3" customFormat="1" ht="22.95" customHeight="1">
      <c r="A36" s="904"/>
      <c r="B36" s="552" t="s">
        <v>467</v>
      </c>
      <c r="C36" s="659"/>
      <c r="D36" s="795">
        <v>1000</v>
      </c>
      <c r="E36" s="1218">
        <f t="shared" si="11"/>
        <v>1000</v>
      </c>
      <c r="F36" s="1193">
        <f t="shared" si="11"/>
        <v>1000</v>
      </c>
      <c r="G36" s="1192">
        <f t="shared" si="11"/>
        <v>1000</v>
      </c>
      <c r="H36" s="1193">
        <f t="shared" si="11"/>
        <v>1000</v>
      </c>
      <c r="I36" s="561"/>
      <c r="J36" s="553"/>
      <c r="M36" s="551"/>
      <c r="N36" s="469"/>
      <c r="O36" s="469"/>
      <c r="P36" s="469"/>
      <c r="Q36" s="469"/>
      <c r="R36" s="469"/>
      <c r="S36" s="469"/>
      <c r="T36" s="469"/>
    </row>
    <row r="37" spans="1:20" s="1367" customFormat="1" ht="22.95" customHeight="1">
      <c r="A37" s="1380"/>
      <c r="B37" s="552" t="s">
        <v>555</v>
      </c>
      <c r="C37" s="659"/>
      <c r="D37" s="795"/>
      <c r="E37" s="1460">
        <v>0.1</v>
      </c>
      <c r="F37" s="1189">
        <f>E37*(1+$I$37)</f>
        <v>0.12</v>
      </c>
      <c r="G37" s="1188">
        <f aca="true" t="shared" si="12" ref="G37:H37">F37*(1+$I$37)</f>
        <v>0.144</v>
      </c>
      <c r="H37" s="1189">
        <f t="shared" si="12"/>
        <v>0.17279999999999998</v>
      </c>
      <c r="I37" s="561">
        <v>0.2</v>
      </c>
      <c r="J37" s="1376"/>
      <c r="M37" s="551"/>
      <c r="N37" s="469"/>
      <c r="O37" s="469"/>
      <c r="P37" s="469"/>
      <c r="Q37" s="469"/>
      <c r="R37" s="469"/>
      <c r="S37" s="469"/>
      <c r="T37" s="469"/>
    </row>
    <row r="38" spans="1:20" s="1367" customFormat="1" ht="22.95" customHeight="1">
      <c r="A38" s="1380"/>
      <c r="B38" s="552" t="s">
        <v>554</v>
      </c>
      <c r="C38" s="659"/>
      <c r="D38" s="795"/>
      <c r="E38" s="1460">
        <v>0.25</v>
      </c>
      <c r="F38" s="1189">
        <f>E38*(1+$I$38)</f>
        <v>0.275</v>
      </c>
      <c r="G38" s="1188">
        <f aca="true" t="shared" si="13" ref="G38:H38">F38*(1+$I$38)</f>
        <v>0.30250000000000005</v>
      </c>
      <c r="H38" s="1189">
        <f t="shared" si="13"/>
        <v>0.3327500000000001</v>
      </c>
      <c r="I38" s="561">
        <v>0.1</v>
      </c>
      <c r="J38" s="1376"/>
      <c r="M38" s="551"/>
      <c r="N38" s="469"/>
      <c r="O38" s="469"/>
      <c r="P38" s="469"/>
      <c r="Q38" s="469"/>
      <c r="R38" s="469"/>
      <c r="S38" s="469"/>
      <c r="T38" s="469"/>
    </row>
    <row r="39" spans="1:20" s="1367" customFormat="1" ht="22.95" customHeight="1">
      <c r="A39" s="1380"/>
      <c r="B39" s="552" t="s">
        <v>553</v>
      </c>
      <c r="C39" s="659"/>
      <c r="D39" s="795"/>
      <c r="E39" s="1460">
        <v>0.4</v>
      </c>
      <c r="F39" s="1189">
        <f>E39*(1+$I$39)</f>
        <v>0.42000000000000004</v>
      </c>
      <c r="G39" s="1188">
        <f aca="true" t="shared" si="14" ref="G39:H39">F39*(1+$I$39)</f>
        <v>0.44100000000000006</v>
      </c>
      <c r="H39" s="1189">
        <f t="shared" si="14"/>
        <v>0.4630500000000001</v>
      </c>
      <c r="I39" s="561">
        <v>0.05</v>
      </c>
      <c r="J39" s="1376"/>
      <c r="M39" s="551"/>
      <c r="N39" s="469"/>
      <c r="O39" s="469"/>
      <c r="P39" s="469"/>
      <c r="Q39" s="469"/>
      <c r="R39" s="469"/>
      <c r="S39" s="469"/>
      <c r="T39" s="469"/>
    </row>
    <row r="40" spans="1:20" s="1367" customFormat="1" ht="22.95" customHeight="1">
      <c r="A40" s="1380"/>
      <c r="B40" s="552" t="s">
        <v>552</v>
      </c>
      <c r="C40" s="659"/>
      <c r="D40" s="795"/>
      <c r="E40" s="1460">
        <v>0.2</v>
      </c>
      <c r="F40" s="1189">
        <f>E40*(1+$I$40)</f>
        <v>0.22000000000000003</v>
      </c>
      <c r="G40" s="1188">
        <f aca="true" t="shared" si="15" ref="G40:H40">F40*(1+$I$40)</f>
        <v>0.24200000000000005</v>
      </c>
      <c r="H40" s="1189">
        <f t="shared" si="15"/>
        <v>0.26620000000000005</v>
      </c>
      <c r="I40" s="561">
        <v>0.1</v>
      </c>
      <c r="J40" s="1376"/>
      <c r="M40" s="551"/>
      <c r="N40" s="469"/>
      <c r="O40" s="469"/>
      <c r="P40" s="469"/>
      <c r="Q40" s="469"/>
      <c r="R40" s="469"/>
      <c r="S40" s="469"/>
      <c r="T40" s="469"/>
    </row>
    <row r="41" spans="1:20" s="1367" customFormat="1" ht="22.95" customHeight="1" thickBot="1">
      <c r="A41" s="1380"/>
      <c r="B41" s="552" t="s">
        <v>551</v>
      </c>
      <c r="C41" s="659"/>
      <c r="D41" s="795"/>
      <c r="E41" s="1460">
        <v>0.2</v>
      </c>
      <c r="F41" s="1189">
        <f>E41*(1+$I$41)</f>
        <v>0.22000000000000003</v>
      </c>
      <c r="G41" s="1188">
        <f aca="true" t="shared" si="16" ref="G41:H41">F41*(1+$I$41)</f>
        <v>0.24200000000000005</v>
      </c>
      <c r="H41" s="1189">
        <f t="shared" si="16"/>
        <v>0.26620000000000005</v>
      </c>
      <c r="I41" s="561">
        <v>0.1</v>
      </c>
      <c r="J41" s="1376"/>
      <c r="M41" s="551"/>
      <c r="N41" s="469"/>
      <c r="O41" s="469"/>
      <c r="P41" s="469"/>
      <c r="Q41" s="469"/>
      <c r="R41" s="469"/>
      <c r="S41" s="469"/>
      <c r="T41" s="469"/>
    </row>
    <row r="42" spans="1:20" s="3" customFormat="1" ht="22.8" customHeight="1">
      <c r="A42" s="904"/>
      <c r="B42" s="950" t="s">
        <v>462</v>
      </c>
      <c r="C42" s="1213"/>
      <c r="D42" s="1213"/>
      <c r="E42" s="1214"/>
      <c r="F42" s="1215"/>
      <c r="G42" s="1216"/>
      <c r="H42" s="1215"/>
      <c r="I42" s="1217"/>
      <c r="J42" s="553"/>
      <c r="M42" s="551"/>
      <c r="N42" s="469"/>
      <c r="O42" s="469"/>
      <c r="P42" s="469"/>
      <c r="Q42" s="469"/>
      <c r="R42" s="469"/>
      <c r="S42" s="469"/>
      <c r="T42" s="469"/>
    </row>
    <row r="43" spans="1:20" s="3" customFormat="1" ht="22.95" customHeight="1">
      <c r="A43" s="904"/>
      <c r="B43" s="552" t="s">
        <v>463</v>
      </c>
      <c r="C43" s="659"/>
      <c r="D43" s="795">
        <v>30</v>
      </c>
      <c r="E43" s="1218">
        <f>D43*(1+$I43)</f>
        <v>30</v>
      </c>
      <c r="F43" s="1193">
        <f aca="true" t="shared" si="17" ref="F43:H43">E43*(1+$I43)</f>
        <v>30</v>
      </c>
      <c r="G43" s="933">
        <f t="shared" si="17"/>
        <v>30</v>
      </c>
      <c r="H43" s="792">
        <f t="shared" si="17"/>
        <v>30</v>
      </c>
      <c r="I43" s="561"/>
      <c r="J43" s="553"/>
      <c r="M43" s="551"/>
      <c r="N43" s="469"/>
      <c r="O43" s="469"/>
      <c r="P43" s="469"/>
      <c r="Q43" s="469"/>
      <c r="R43" s="469"/>
      <c r="S43" s="469"/>
      <c r="T43" s="469"/>
    </row>
    <row r="44" spans="1:20" s="3" customFormat="1" ht="22.95" customHeight="1">
      <c r="A44" s="904"/>
      <c r="B44" s="552" t="s">
        <v>464</v>
      </c>
      <c r="C44" s="659"/>
      <c r="D44" s="795">
        <v>80</v>
      </c>
      <c r="E44" s="1218">
        <f aca="true" t="shared" si="18" ref="E44:H48">D44*(1+$I44)</f>
        <v>80</v>
      </c>
      <c r="F44" s="1193">
        <f t="shared" si="18"/>
        <v>80</v>
      </c>
      <c r="G44" s="933">
        <f t="shared" si="18"/>
        <v>80</v>
      </c>
      <c r="H44" s="792">
        <f t="shared" si="18"/>
        <v>80</v>
      </c>
      <c r="I44" s="561"/>
      <c r="J44" s="553"/>
      <c r="M44" s="551"/>
      <c r="N44" s="469"/>
      <c r="O44" s="469"/>
      <c r="P44" s="469"/>
      <c r="Q44" s="469"/>
      <c r="R44" s="469"/>
      <c r="S44" s="469"/>
      <c r="T44" s="469"/>
    </row>
    <row r="45" spans="1:20" s="3" customFormat="1" ht="22.95" customHeight="1">
      <c r="A45" s="904"/>
      <c r="B45" s="552" t="s">
        <v>469</v>
      </c>
      <c r="C45" s="659"/>
      <c r="D45" s="795">
        <v>100</v>
      </c>
      <c r="E45" s="1218">
        <f t="shared" si="18"/>
        <v>100</v>
      </c>
      <c r="F45" s="1193">
        <f t="shared" si="18"/>
        <v>100</v>
      </c>
      <c r="G45" s="933">
        <f t="shared" si="18"/>
        <v>100</v>
      </c>
      <c r="H45" s="792">
        <f t="shared" si="18"/>
        <v>100</v>
      </c>
      <c r="I45" s="561"/>
      <c r="J45" s="553"/>
      <c r="M45" s="551"/>
      <c r="N45" s="469"/>
      <c r="O45" s="469"/>
      <c r="P45" s="469"/>
      <c r="Q45" s="469"/>
      <c r="R45" s="469"/>
      <c r="S45" s="469"/>
      <c r="T45" s="469"/>
    </row>
    <row r="46" spans="1:20" s="3" customFormat="1" ht="22.95" customHeight="1">
      <c r="A46" s="904"/>
      <c r="B46" s="552" t="s">
        <v>468</v>
      </c>
      <c r="C46" s="659"/>
      <c r="D46" s="795">
        <v>150</v>
      </c>
      <c r="E46" s="1218">
        <f t="shared" si="18"/>
        <v>150</v>
      </c>
      <c r="F46" s="1193">
        <f t="shared" si="18"/>
        <v>150</v>
      </c>
      <c r="G46" s="933">
        <f t="shared" si="18"/>
        <v>150</v>
      </c>
      <c r="H46" s="792">
        <f t="shared" si="18"/>
        <v>150</v>
      </c>
      <c r="I46" s="561"/>
      <c r="J46" s="553"/>
      <c r="M46" s="551"/>
      <c r="N46" s="469"/>
      <c r="O46" s="469"/>
      <c r="P46" s="469"/>
      <c r="Q46" s="469"/>
      <c r="R46" s="469"/>
      <c r="S46" s="469"/>
      <c r="T46" s="469"/>
    </row>
    <row r="47" spans="1:20" s="3" customFormat="1" ht="22.95" customHeight="1">
      <c r="A47" s="904"/>
      <c r="B47" s="1339" t="s">
        <v>470</v>
      </c>
      <c r="C47" s="1338"/>
      <c r="D47" s="1337">
        <v>200</v>
      </c>
      <c r="E47" s="1336">
        <f t="shared" si="18"/>
        <v>200</v>
      </c>
      <c r="F47" s="1335">
        <f t="shared" si="18"/>
        <v>200</v>
      </c>
      <c r="G47" s="1334">
        <f t="shared" si="18"/>
        <v>200</v>
      </c>
      <c r="H47" s="1333">
        <f t="shared" si="18"/>
        <v>200</v>
      </c>
      <c r="I47" s="1332"/>
      <c r="J47" s="553"/>
      <c r="M47" s="551"/>
      <c r="N47" s="469"/>
      <c r="O47" s="469"/>
      <c r="P47" s="469"/>
      <c r="Q47" s="469"/>
      <c r="R47" s="469"/>
      <c r="S47" s="469"/>
      <c r="T47" s="469"/>
    </row>
    <row r="48" spans="1:20" s="1367" customFormat="1" ht="22.95" customHeight="1">
      <c r="A48" s="1380"/>
      <c r="B48" s="552" t="s">
        <v>514</v>
      </c>
      <c r="C48" s="659"/>
      <c r="D48" s="1279">
        <v>0.5</v>
      </c>
      <c r="E48" s="1199">
        <f t="shared" si="18"/>
        <v>0.5</v>
      </c>
      <c r="F48" s="1189">
        <f t="shared" si="18"/>
        <v>0.5</v>
      </c>
      <c r="G48" s="1201">
        <f t="shared" si="18"/>
        <v>0.5</v>
      </c>
      <c r="H48" s="1200">
        <f t="shared" si="18"/>
        <v>0.5</v>
      </c>
      <c r="I48" s="561"/>
      <c r="J48" s="1376"/>
      <c r="M48" s="551"/>
      <c r="N48" s="469"/>
      <c r="O48" s="469"/>
      <c r="P48" s="469"/>
      <c r="Q48" s="469"/>
      <c r="R48" s="469"/>
      <c r="S48" s="469"/>
      <c r="T48" s="469"/>
    </row>
    <row r="49" spans="1:20" s="1367" customFormat="1" ht="22.95" customHeight="1">
      <c r="A49" s="1380"/>
      <c r="B49" s="1373" t="s">
        <v>496</v>
      </c>
      <c r="C49" s="659"/>
      <c r="D49" s="795"/>
      <c r="E49" s="1331">
        <v>0.3</v>
      </c>
      <c r="F49" s="1330">
        <f>E49</f>
        <v>0.3</v>
      </c>
      <c r="G49" s="1329">
        <f aca="true" t="shared" si="19" ref="G49:H49">F49</f>
        <v>0.3</v>
      </c>
      <c r="H49" s="1329">
        <f t="shared" si="19"/>
        <v>0.3</v>
      </c>
      <c r="I49" s="561"/>
      <c r="J49" s="1376"/>
      <c r="M49" s="551"/>
      <c r="N49" s="469"/>
      <c r="O49" s="469"/>
      <c r="P49" s="469"/>
      <c r="Q49" s="469"/>
      <c r="R49" s="469"/>
      <c r="S49" s="469"/>
      <c r="T49" s="469"/>
    </row>
    <row r="50" spans="1:20" s="1367" customFormat="1" ht="22.95" customHeight="1">
      <c r="A50" s="1380"/>
      <c r="B50" s="1373" t="s">
        <v>497</v>
      </c>
      <c r="C50" s="659"/>
      <c r="D50" s="795"/>
      <c r="E50" s="1331">
        <v>0.2</v>
      </c>
      <c r="F50" s="1330">
        <f>E50</f>
        <v>0.2</v>
      </c>
      <c r="G50" s="1329">
        <f aca="true" t="shared" si="20" ref="G50:H50">F50</f>
        <v>0.2</v>
      </c>
      <c r="H50" s="1329">
        <f t="shared" si="20"/>
        <v>0.2</v>
      </c>
      <c r="I50" s="561"/>
      <c r="J50" s="1376"/>
      <c r="M50" s="551"/>
      <c r="N50" s="469"/>
      <c r="O50" s="469"/>
      <c r="P50" s="469"/>
      <c r="Q50" s="469"/>
      <c r="R50" s="469"/>
      <c r="S50" s="469"/>
      <c r="T50" s="469"/>
    </row>
    <row r="51" spans="1:20" s="1367" customFormat="1" ht="22.95" customHeight="1" thickBot="1">
      <c r="A51" s="1380"/>
      <c r="B51" s="1374" t="s">
        <v>498</v>
      </c>
      <c r="C51" s="1223"/>
      <c r="D51" s="1224"/>
      <c r="E51" s="970">
        <v>0.15</v>
      </c>
      <c r="F51" s="1328">
        <f>E51</f>
        <v>0.15</v>
      </c>
      <c r="G51" s="1327">
        <f aca="true" t="shared" si="21" ref="G51:H51">F51</f>
        <v>0.15</v>
      </c>
      <c r="H51" s="1327">
        <f t="shared" si="21"/>
        <v>0.15</v>
      </c>
      <c r="I51" s="662"/>
      <c r="J51" s="1376"/>
      <c r="M51" s="551"/>
      <c r="N51" s="469"/>
      <c r="O51" s="469"/>
      <c r="P51" s="469"/>
      <c r="Q51" s="469"/>
      <c r="R51" s="469"/>
      <c r="S51" s="469"/>
      <c r="T51" s="469"/>
    </row>
    <row r="52" spans="1:20" s="3" customFormat="1" ht="22.95" customHeight="1">
      <c r="A52" s="904"/>
      <c r="B52" s="332" t="s">
        <v>311</v>
      </c>
      <c r="C52" s="1207"/>
      <c r="D52" s="929"/>
      <c r="E52" s="929"/>
      <c r="F52" s="930"/>
      <c r="G52" s="929"/>
      <c r="H52" s="931"/>
      <c r="I52" s="561"/>
      <c r="J52" s="553"/>
      <c r="M52" s="551"/>
      <c r="N52" s="469"/>
      <c r="O52" s="469"/>
      <c r="P52" s="469"/>
      <c r="Q52" s="469"/>
      <c r="R52" s="469"/>
      <c r="S52" s="469"/>
      <c r="T52" s="469"/>
    </row>
    <row r="53" spans="1:20" s="3" customFormat="1" ht="22.95" customHeight="1">
      <c r="A53" s="904"/>
      <c r="B53" s="335" t="s">
        <v>449</v>
      </c>
      <c r="C53" s="661"/>
      <c r="D53" s="1230">
        <v>0.014</v>
      </c>
      <c r="E53" s="1188">
        <f>D53</f>
        <v>0.014</v>
      </c>
      <c r="F53" s="1189">
        <f aca="true" t="shared" si="22" ref="F53:H53">E53</f>
        <v>0.014</v>
      </c>
      <c r="G53" s="1188">
        <f t="shared" si="22"/>
        <v>0.014</v>
      </c>
      <c r="H53" s="1189">
        <f t="shared" si="22"/>
        <v>0.014</v>
      </c>
      <c r="I53" s="880"/>
      <c r="J53" s="553"/>
      <c r="K53" s="264"/>
      <c r="L53" s="264"/>
      <c r="M53" s="551"/>
      <c r="N53" s="469"/>
      <c r="O53" s="469"/>
      <c r="P53" s="469"/>
      <c r="Q53" s="469"/>
      <c r="R53" s="469"/>
      <c r="S53" s="469"/>
      <c r="T53" s="469"/>
    </row>
    <row r="54" spans="1:20" s="3" customFormat="1" ht="22.95" customHeight="1">
      <c r="A54" s="904"/>
      <c r="B54" s="333" t="s">
        <v>461</v>
      </c>
      <c r="C54" s="661"/>
      <c r="D54" s="1211">
        <f>0.5*D30</f>
        <v>4500</v>
      </c>
      <c r="E54" s="1192">
        <f>D54</f>
        <v>4500</v>
      </c>
      <c r="F54" s="1193">
        <f aca="true" t="shared" si="23" ref="F54:H54">E54</f>
        <v>4500</v>
      </c>
      <c r="G54" s="1192">
        <f t="shared" si="23"/>
        <v>4500</v>
      </c>
      <c r="H54" s="1193">
        <f t="shared" si="23"/>
        <v>4500</v>
      </c>
      <c r="I54" s="880"/>
      <c r="J54" s="553"/>
      <c r="K54" s="243"/>
      <c r="M54" s="551"/>
      <c r="N54" s="469"/>
      <c r="O54" s="469"/>
      <c r="P54" s="469"/>
      <c r="Q54" s="469"/>
      <c r="R54" s="469"/>
      <c r="S54" s="469"/>
      <c r="T54" s="469"/>
    </row>
    <row r="55" spans="1:20" s="3" customFormat="1" ht="22.95" customHeight="1">
      <c r="A55" s="904"/>
      <c r="B55" s="333" t="s">
        <v>460</v>
      </c>
      <c r="C55" s="661"/>
      <c r="D55" s="1211">
        <f>0.5*D31</f>
        <v>1000</v>
      </c>
      <c r="E55" s="1192">
        <f aca="true" t="shared" si="24" ref="E55:H59">D55</f>
        <v>1000</v>
      </c>
      <c r="F55" s="1193">
        <f t="shared" si="24"/>
        <v>1000</v>
      </c>
      <c r="G55" s="1192">
        <f t="shared" si="24"/>
        <v>1000</v>
      </c>
      <c r="H55" s="1193">
        <f t="shared" si="24"/>
        <v>1000</v>
      </c>
      <c r="I55" s="880"/>
      <c r="J55" s="553"/>
      <c r="K55" s="243"/>
      <c r="M55" s="551"/>
      <c r="N55" s="469"/>
      <c r="O55" s="469"/>
      <c r="P55" s="469"/>
      <c r="Q55" s="469"/>
      <c r="R55" s="469"/>
      <c r="S55" s="469"/>
      <c r="T55" s="469"/>
    </row>
    <row r="56" spans="1:20" s="3" customFormat="1" ht="22.95" customHeight="1">
      <c r="A56" s="904"/>
      <c r="B56" s="333" t="s">
        <v>459</v>
      </c>
      <c r="C56" s="661"/>
      <c r="D56" s="1211">
        <f>0.3*D33</f>
        <v>150</v>
      </c>
      <c r="E56" s="1209">
        <f t="shared" si="24"/>
        <v>150</v>
      </c>
      <c r="F56" s="1210">
        <f t="shared" si="24"/>
        <v>150</v>
      </c>
      <c r="G56" s="1209">
        <f t="shared" si="24"/>
        <v>150</v>
      </c>
      <c r="H56" s="1210">
        <f t="shared" si="24"/>
        <v>150</v>
      </c>
      <c r="I56" s="880"/>
      <c r="J56" s="553"/>
      <c r="K56" s="243"/>
      <c r="M56" s="551"/>
      <c r="N56" s="469"/>
      <c r="O56" s="469"/>
      <c r="P56" s="469"/>
      <c r="Q56" s="469"/>
      <c r="R56" s="469"/>
      <c r="S56" s="469"/>
      <c r="T56" s="469"/>
    </row>
    <row r="57" spans="1:20" s="3" customFormat="1" ht="22.95" customHeight="1">
      <c r="A57" s="904"/>
      <c r="B57" s="333" t="s">
        <v>458</v>
      </c>
      <c r="C57" s="661"/>
      <c r="D57" s="1211">
        <f>0.5*D34</f>
        <v>250</v>
      </c>
      <c r="E57" s="1209">
        <f t="shared" si="24"/>
        <v>250</v>
      </c>
      <c r="F57" s="1210">
        <f t="shared" si="24"/>
        <v>250</v>
      </c>
      <c r="G57" s="1209">
        <f t="shared" si="24"/>
        <v>250</v>
      </c>
      <c r="H57" s="1210">
        <f t="shared" si="24"/>
        <v>250</v>
      </c>
      <c r="I57" s="880"/>
      <c r="J57" s="553"/>
      <c r="K57" s="243"/>
      <c r="M57" s="551"/>
      <c r="N57" s="469"/>
      <c r="O57" s="469"/>
      <c r="P57" s="469"/>
      <c r="Q57" s="469"/>
      <c r="R57" s="469"/>
      <c r="S57" s="469"/>
      <c r="T57" s="469"/>
    </row>
    <row r="58" spans="1:20" s="3" customFormat="1" ht="22.95" customHeight="1">
      <c r="A58" s="904"/>
      <c r="B58" s="333" t="s">
        <v>456</v>
      </c>
      <c r="C58" s="661"/>
      <c r="D58" s="1211">
        <f>0.6*D35</f>
        <v>600</v>
      </c>
      <c r="E58" s="1209">
        <f t="shared" si="24"/>
        <v>600</v>
      </c>
      <c r="F58" s="1210">
        <f t="shared" si="24"/>
        <v>600</v>
      </c>
      <c r="G58" s="1209">
        <f t="shared" si="24"/>
        <v>600</v>
      </c>
      <c r="H58" s="1210">
        <f t="shared" si="24"/>
        <v>600</v>
      </c>
      <c r="I58" s="880"/>
      <c r="J58" s="553"/>
      <c r="K58" s="243"/>
      <c r="M58" s="551"/>
      <c r="N58" s="469"/>
      <c r="O58" s="469"/>
      <c r="P58" s="469"/>
      <c r="Q58" s="469"/>
      <c r="R58" s="469"/>
      <c r="S58" s="469"/>
      <c r="T58" s="469"/>
    </row>
    <row r="59" spans="1:20" s="3" customFormat="1" ht="22.95" customHeight="1" thickBot="1">
      <c r="A59" s="904"/>
      <c r="B59" s="333" t="s">
        <v>457</v>
      </c>
      <c r="C59" s="661"/>
      <c r="D59" s="1211">
        <f>0.6*D36</f>
        <v>600</v>
      </c>
      <c r="E59" s="1209">
        <f t="shared" si="24"/>
        <v>600</v>
      </c>
      <c r="F59" s="1210">
        <f t="shared" si="24"/>
        <v>600</v>
      </c>
      <c r="G59" s="1209">
        <f t="shared" si="24"/>
        <v>600</v>
      </c>
      <c r="H59" s="1210">
        <f t="shared" si="24"/>
        <v>600</v>
      </c>
      <c r="I59" s="880"/>
      <c r="J59" s="553"/>
      <c r="K59" s="243"/>
      <c r="M59" s="551"/>
      <c r="N59" s="469"/>
      <c r="O59" s="469"/>
      <c r="P59" s="469"/>
      <c r="Q59" s="469"/>
      <c r="R59" s="469"/>
      <c r="S59" s="469"/>
      <c r="T59" s="469"/>
    </row>
    <row r="60" spans="1:20" s="3" customFormat="1" ht="22.95" customHeight="1">
      <c r="A60" s="904"/>
      <c r="B60" s="1225" t="s">
        <v>471</v>
      </c>
      <c r="C60" s="1226"/>
      <c r="D60" s="1231">
        <v>25</v>
      </c>
      <c r="E60" s="1301">
        <f aca="true" t="shared" si="25" ref="E60:E68">D60</f>
        <v>25</v>
      </c>
      <c r="F60" s="1227">
        <f aca="true" t="shared" si="26" ref="F60:H60">E60</f>
        <v>25</v>
      </c>
      <c r="G60" s="1228">
        <f t="shared" si="26"/>
        <v>25</v>
      </c>
      <c r="H60" s="1227">
        <f t="shared" si="26"/>
        <v>25</v>
      </c>
      <c r="I60" s="1229"/>
      <c r="J60" s="553"/>
      <c r="K60" s="243"/>
      <c r="M60" s="551"/>
      <c r="N60" s="469"/>
      <c r="O60" s="469"/>
      <c r="P60" s="469"/>
      <c r="Q60" s="469"/>
      <c r="R60" s="469"/>
      <c r="S60" s="469"/>
      <c r="T60" s="469"/>
    </row>
    <row r="61" spans="1:20" s="3" customFormat="1" ht="22.95" customHeight="1">
      <c r="A61" s="904"/>
      <c r="B61" s="333" t="s">
        <v>472</v>
      </c>
      <c r="C61" s="661"/>
      <c r="D61" s="1211">
        <v>50</v>
      </c>
      <c r="E61" s="1209">
        <f t="shared" si="25"/>
        <v>50</v>
      </c>
      <c r="F61" s="934">
        <f aca="true" t="shared" si="27" ref="F61:H64">E61</f>
        <v>50</v>
      </c>
      <c r="G61" s="935">
        <f t="shared" si="27"/>
        <v>50</v>
      </c>
      <c r="H61" s="934">
        <f t="shared" si="27"/>
        <v>50</v>
      </c>
      <c r="I61" s="880"/>
      <c r="J61" s="553"/>
      <c r="K61" s="243"/>
      <c r="M61" s="551"/>
      <c r="N61" s="469"/>
      <c r="O61" s="469"/>
      <c r="P61" s="469"/>
      <c r="Q61" s="469"/>
      <c r="R61" s="469"/>
      <c r="S61" s="469"/>
      <c r="T61" s="469"/>
    </row>
    <row r="62" spans="1:20" s="1367" customFormat="1" ht="22.95" customHeight="1">
      <c r="A62" s="1380"/>
      <c r="B62" s="1373" t="s">
        <v>559</v>
      </c>
      <c r="C62" s="661"/>
      <c r="D62" s="1314">
        <v>2.5</v>
      </c>
      <c r="E62" s="1312">
        <f t="shared" si="25"/>
        <v>2.5</v>
      </c>
      <c r="F62" s="1311">
        <f t="shared" si="27"/>
        <v>2.5</v>
      </c>
      <c r="G62" s="1312">
        <f t="shared" si="27"/>
        <v>2.5</v>
      </c>
      <c r="H62" s="1313">
        <f t="shared" si="27"/>
        <v>2.5</v>
      </c>
      <c r="I62" s="880"/>
      <c r="J62" s="1376"/>
      <c r="K62" s="1369"/>
      <c r="M62" s="551"/>
      <c r="N62" s="469"/>
      <c r="O62" s="469"/>
      <c r="P62" s="469"/>
      <c r="Q62" s="469"/>
      <c r="R62" s="469"/>
      <c r="S62" s="469"/>
      <c r="T62" s="469"/>
    </row>
    <row r="63" spans="1:20" s="1367" customFormat="1" ht="22.95" customHeight="1">
      <c r="A63" s="1380"/>
      <c r="B63" s="1373" t="s">
        <v>505</v>
      </c>
      <c r="C63" s="661"/>
      <c r="D63" s="1308">
        <v>0.6</v>
      </c>
      <c r="E63" s="1307">
        <f t="shared" si="25"/>
        <v>0.6</v>
      </c>
      <c r="F63" s="1306">
        <f t="shared" si="27"/>
        <v>0.6</v>
      </c>
      <c r="G63" s="1307">
        <f t="shared" si="27"/>
        <v>0.6</v>
      </c>
      <c r="H63" s="1305">
        <f t="shared" si="27"/>
        <v>0.6</v>
      </c>
      <c r="I63" s="880"/>
      <c r="J63" s="1376"/>
      <c r="K63" s="1369"/>
      <c r="M63" s="551"/>
      <c r="N63" s="469"/>
      <c r="O63" s="469"/>
      <c r="P63" s="469"/>
      <c r="Q63" s="469"/>
      <c r="R63" s="469"/>
      <c r="S63" s="469"/>
      <c r="T63" s="469"/>
    </row>
    <row r="64" spans="1:20" s="1367" customFormat="1" ht="22.95" customHeight="1">
      <c r="A64" s="1380"/>
      <c r="B64" s="1373" t="s">
        <v>506</v>
      </c>
      <c r="C64" s="661"/>
      <c r="D64" s="1308">
        <v>0.4</v>
      </c>
      <c r="E64" s="1307">
        <f t="shared" si="25"/>
        <v>0.4</v>
      </c>
      <c r="F64" s="1306">
        <f t="shared" si="27"/>
        <v>0.4</v>
      </c>
      <c r="G64" s="1307">
        <f t="shared" si="27"/>
        <v>0.4</v>
      </c>
      <c r="H64" s="1305">
        <f t="shared" si="27"/>
        <v>0.4</v>
      </c>
      <c r="I64" s="880"/>
      <c r="J64" s="1376"/>
      <c r="K64" s="1369"/>
      <c r="M64" s="551"/>
      <c r="N64" s="469"/>
      <c r="O64" s="469"/>
      <c r="P64" s="469"/>
      <c r="Q64" s="469"/>
      <c r="R64" s="469"/>
      <c r="S64" s="469"/>
      <c r="T64" s="469"/>
    </row>
    <row r="65" spans="1:20" s="3" customFormat="1" ht="22.95" customHeight="1">
      <c r="A65" s="904"/>
      <c r="B65" s="333" t="s">
        <v>474</v>
      </c>
      <c r="C65" s="661"/>
      <c r="D65" s="1198">
        <v>0.15</v>
      </c>
      <c r="E65" s="1310">
        <f t="shared" si="25"/>
        <v>0.15</v>
      </c>
      <c r="F65" s="1309">
        <f aca="true" t="shared" si="28" ref="F65:H65">E65</f>
        <v>0.15</v>
      </c>
      <c r="G65" s="1304">
        <f t="shared" si="28"/>
        <v>0.15</v>
      </c>
      <c r="H65" s="1309">
        <f t="shared" si="28"/>
        <v>0.15</v>
      </c>
      <c r="I65" s="880"/>
      <c r="J65" s="553"/>
      <c r="K65" s="243"/>
      <c r="M65" s="551"/>
      <c r="N65" s="469"/>
      <c r="O65" s="469"/>
      <c r="P65" s="469"/>
      <c r="Q65" s="469"/>
      <c r="R65" s="469"/>
      <c r="S65" s="469"/>
      <c r="T65" s="469"/>
    </row>
    <row r="66" spans="1:20" s="3" customFormat="1" ht="22.95" customHeight="1">
      <c r="A66" s="904"/>
      <c r="B66" s="333" t="s">
        <v>473</v>
      </c>
      <c r="C66" s="661"/>
      <c r="D66" s="1198">
        <v>0.1</v>
      </c>
      <c r="E66" s="1310">
        <f t="shared" si="25"/>
        <v>0.1</v>
      </c>
      <c r="F66" s="1309">
        <f aca="true" t="shared" si="29" ref="F66:H67">E66</f>
        <v>0.1</v>
      </c>
      <c r="G66" s="1304">
        <f t="shared" si="29"/>
        <v>0.1</v>
      </c>
      <c r="H66" s="1309">
        <f t="shared" si="29"/>
        <v>0.1</v>
      </c>
      <c r="I66" s="880"/>
      <c r="J66" s="553"/>
      <c r="K66" s="243"/>
      <c r="M66" s="551"/>
      <c r="N66" s="469"/>
      <c r="O66" s="469"/>
      <c r="P66" s="469"/>
      <c r="Q66" s="469"/>
      <c r="R66" s="469"/>
      <c r="S66" s="469"/>
      <c r="T66" s="469"/>
    </row>
    <row r="67" spans="1:20" s="1367" customFormat="1" ht="22.95" customHeight="1">
      <c r="A67" s="1380"/>
      <c r="B67" s="1373" t="s">
        <v>536</v>
      </c>
      <c r="C67" s="661"/>
      <c r="D67" s="1406">
        <v>5</v>
      </c>
      <c r="E67" s="1209">
        <f>D67</f>
        <v>5</v>
      </c>
      <c r="F67" s="934">
        <f t="shared" si="29"/>
        <v>5</v>
      </c>
      <c r="G67" s="935">
        <f t="shared" si="29"/>
        <v>5</v>
      </c>
      <c r="H67" s="934">
        <f t="shared" si="29"/>
        <v>5</v>
      </c>
      <c r="I67" s="880"/>
      <c r="J67" s="1376"/>
      <c r="K67" s="1369"/>
      <c r="M67" s="551"/>
      <c r="N67" s="469"/>
      <c r="O67" s="469"/>
      <c r="P67" s="469"/>
      <c r="Q67" s="469"/>
      <c r="R67" s="469"/>
      <c r="S67" s="469"/>
      <c r="T67" s="469"/>
    </row>
    <row r="68" spans="1:20" ht="22.95" customHeight="1" thickBot="1">
      <c r="A68" s="656"/>
      <c r="B68" s="903" t="s">
        <v>475</v>
      </c>
      <c r="C68" s="1208"/>
      <c r="D68" s="1232">
        <v>1</v>
      </c>
      <c r="E68" s="1302">
        <f t="shared" si="25"/>
        <v>1</v>
      </c>
      <c r="F68" s="1303">
        <f aca="true" t="shared" si="30" ref="F68:H68">E68</f>
        <v>1</v>
      </c>
      <c r="G68" s="1303">
        <f t="shared" si="30"/>
        <v>1</v>
      </c>
      <c r="H68" s="1303">
        <f t="shared" si="30"/>
        <v>1</v>
      </c>
      <c r="I68" s="662"/>
      <c r="J68" s="564"/>
      <c r="K68" s="468"/>
      <c r="L68" s="555"/>
      <c r="M68" s="468"/>
      <c r="N68" s="243"/>
      <c r="O68" s="243"/>
      <c r="P68" s="243"/>
      <c r="Q68" s="243"/>
      <c r="R68" s="243"/>
      <c r="S68" s="243"/>
      <c r="T68" s="243"/>
    </row>
    <row r="69" ht="15.75">
      <c r="A69" s="658"/>
    </row>
    <row r="70" spans="1:9" s="323" customFormat="1" ht="18.6" thickBot="1">
      <c r="A70" s="658"/>
      <c r="C70" s="324"/>
      <c r="D70" s="325"/>
      <c r="E70" s="324">
        <f>452-163</f>
        <v>289</v>
      </c>
      <c r="F70" s="969">
        <f>+E70+F32-434</f>
        <v>855</v>
      </c>
      <c r="G70" s="969">
        <f>+F70+G32-1039</f>
        <v>816</v>
      </c>
      <c r="H70" s="324"/>
      <c r="I70" s="560"/>
    </row>
    <row r="71" spans="2:8" ht="45" customHeight="1" thickBot="1">
      <c r="B71" s="359" t="s">
        <v>59</v>
      </c>
      <c r="C71" s="360"/>
      <c r="D71" s="359"/>
      <c r="E71" s="356"/>
      <c r="F71" s="356"/>
      <c r="G71" s="356"/>
      <c r="H71" s="403"/>
    </row>
    <row r="72" spans="2:16" s="264" customFormat="1" ht="22.95" customHeight="1" thickBot="1">
      <c r="B72" s="267"/>
      <c r="C72" s="496">
        <f>+C3</f>
        <v>2019</v>
      </c>
      <c r="D72" s="496">
        <f>1+C72</f>
        <v>2020</v>
      </c>
      <c r="E72" s="496">
        <f aca="true" t="shared" si="31" ref="E72:H72">1+D72</f>
        <v>2021</v>
      </c>
      <c r="F72" s="496">
        <f t="shared" si="31"/>
        <v>2022</v>
      </c>
      <c r="G72" s="496">
        <f t="shared" si="31"/>
        <v>2023</v>
      </c>
      <c r="H72" s="496">
        <f t="shared" si="31"/>
        <v>2024</v>
      </c>
      <c r="I72" s="556" t="s">
        <v>247</v>
      </c>
      <c r="J72" s="943" t="s">
        <v>312</v>
      </c>
      <c r="K72" s="4"/>
      <c r="L72" s="4"/>
      <c r="M72" s="4"/>
      <c r="N72" s="4"/>
      <c r="O72" s="4"/>
      <c r="P72" s="4"/>
    </row>
    <row r="73" spans="2:16" ht="15.75">
      <c r="B73" s="332" t="s">
        <v>171</v>
      </c>
      <c r="C73" s="262"/>
      <c r="D73" s="503"/>
      <c r="E73" s="503"/>
      <c r="F73" s="503"/>
      <c r="G73" s="503"/>
      <c r="H73" s="438"/>
      <c r="I73" s="4"/>
      <c r="J73" s="940"/>
      <c r="K73" s="392"/>
      <c r="L73" s="392"/>
      <c r="M73" s="392"/>
      <c r="N73" s="392"/>
      <c r="O73" s="392"/>
      <c r="P73" s="392"/>
    </row>
    <row r="74" spans="2:16" s="392" customFormat="1" ht="15.75">
      <c r="B74" s="333" t="s">
        <v>535</v>
      </c>
      <c r="C74" s="266">
        <v>10471</v>
      </c>
      <c r="D74" s="858">
        <f>+SUM('Income Statement'!E13:P13)</f>
        <v>8160</v>
      </c>
      <c r="E74" s="506">
        <f>+SUM('Income Statement'!Q13:AB13)</f>
        <v>102000</v>
      </c>
      <c r="F74" s="506">
        <f>+SUM('Income Statement'!AC13:AN13)</f>
        <v>234599.99999999997</v>
      </c>
      <c r="G74" s="506">
        <f>+SUM('Income Statement'!AO13:AZ13)</f>
        <v>453247.1999999998</v>
      </c>
      <c r="H74" s="506">
        <f>+SUM('Income Statement'!BA13:BL13)</f>
        <v>781851.4199999999</v>
      </c>
      <c r="I74" s="936"/>
      <c r="J74" s="559"/>
      <c r="K74" s="4"/>
      <c r="L74" s="4"/>
      <c r="M74" s="4"/>
      <c r="N74" s="4"/>
      <c r="O74" s="4"/>
      <c r="P74" s="4"/>
    </row>
    <row r="75" spans="2:10" s="392" customFormat="1" ht="15.75">
      <c r="B75" s="333" t="s">
        <v>511</v>
      </c>
      <c r="C75" s="266"/>
      <c r="D75" s="858">
        <f>+SUM('Income Statement'!E14:P14)</f>
        <v>903.1575</v>
      </c>
      <c r="E75" s="858">
        <f>+SUM('Income Statement'!Q14:AB14)</f>
        <v>7742.108499999999</v>
      </c>
      <c r="F75" s="858">
        <f>+SUM('Income Statement'!AC14:AN14)</f>
        <v>15276.626749999998</v>
      </c>
      <c r="G75" s="858">
        <f>+SUM('Income Statement'!AO14:AZ14)</f>
        <v>27238.1095</v>
      </c>
      <c r="H75" s="328">
        <f>+SUM('Income Statement'!BA14:BL14)</f>
        <v>46934.8488</v>
      </c>
      <c r="I75" s="936"/>
      <c r="J75" s="559"/>
    </row>
    <row r="76" spans="2:16" ht="22.95" customHeight="1">
      <c r="B76" s="333" t="s">
        <v>513</v>
      </c>
      <c r="C76" s="266"/>
      <c r="D76" s="858">
        <f>+SUM('Income Statement'!E15:P15)</f>
        <v>30044</v>
      </c>
      <c r="E76" s="858">
        <f>+SUM('Income Statement'!Q15:AB15)</f>
        <v>85200</v>
      </c>
      <c r="F76" s="858">
        <f>+SUM('Income Statement'!AC15:AN15)</f>
        <v>170400</v>
      </c>
      <c r="G76" s="858">
        <f>+SUM('Income Statement'!AO15:AZ15)</f>
        <v>298200</v>
      </c>
      <c r="H76" s="328">
        <f>+SUM('Income Statement'!BA15:BL15)</f>
        <v>468600</v>
      </c>
      <c r="I76" s="936"/>
      <c r="J76" s="559"/>
      <c r="K76" s="392"/>
      <c r="L76" s="392"/>
      <c r="M76" s="392"/>
      <c r="N76" s="392"/>
      <c r="O76" s="392"/>
      <c r="P76" s="392"/>
    </row>
    <row r="77" spans="2:16" ht="22.95" customHeight="1">
      <c r="B77" s="391" t="s">
        <v>530</v>
      </c>
      <c r="C77" s="470"/>
      <c r="D77" s="858">
        <f>+SUM('Income Statement'!E16:P16)</f>
        <v>1650</v>
      </c>
      <c r="E77" s="858">
        <f>+SUM('Income Statement'!Q16:AB18)</f>
        <v>6270</v>
      </c>
      <c r="F77" s="858">
        <f>+SUM('Income Statement'!AC16:AN16)</f>
        <v>9645</v>
      </c>
      <c r="G77" s="858">
        <f>+SUM('Income Statement'!AO16:AZ16)</f>
        <v>14890</v>
      </c>
      <c r="H77" s="328">
        <f>+SUM('Income Statement'!BA16:BL16)</f>
        <v>23040</v>
      </c>
      <c r="I77" s="936"/>
      <c r="J77" s="559"/>
      <c r="K77" s="392"/>
      <c r="L77" s="392"/>
      <c r="M77" s="392"/>
      <c r="N77" s="392"/>
      <c r="O77" s="392"/>
      <c r="P77" s="392"/>
    </row>
    <row r="78" spans="2:10" s="392" customFormat="1" ht="15.75" hidden="1">
      <c r="B78" s="471"/>
      <c r="C78" s="265"/>
      <c r="D78" s="858"/>
      <c r="E78" s="858"/>
      <c r="F78" s="858"/>
      <c r="G78" s="858"/>
      <c r="H78" s="506"/>
      <c r="I78" s="936"/>
      <c r="J78" s="567"/>
    </row>
    <row r="79" spans="2:10" s="392" customFormat="1" ht="15.75" hidden="1">
      <c r="B79" s="391"/>
      <c r="C79" s="470"/>
      <c r="D79" s="858"/>
      <c r="E79" s="858"/>
      <c r="F79" s="858"/>
      <c r="G79" s="858"/>
      <c r="H79" s="328"/>
      <c r="I79" s="937"/>
      <c r="J79" s="567"/>
    </row>
    <row r="80" spans="2:10" ht="22.95" customHeight="1">
      <c r="B80" s="332" t="s">
        <v>9</v>
      </c>
      <c r="C80" s="327"/>
      <c r="D80" s="505"/>
      <c r="E80" s="505"/>
      <c r="F80" s="505"/>
      <c r="G80" s="505"/>
      <c r="H80" s="265"/>
      <c r="I80" s="937"/>
      <c r="J80" s="567"/>
    </row>
    <row r="81" spans="2:10" ht="22.95" customHeight="1">
      <c r="B81" s="333" t="s">
        <v>291</v>
      </c>
      <c r="C81" s="326">
        <f>21799-9000-9000</f>
        <v>3799</v>
      </c>
      <c r="D81" s="858">
        <f>+SUM('Income Statement'!E21:P21)</f>
        <v>3400</v>
      </c>
      <c r="E81" s="858">
        <f>+SUM('Income Statement'!Q21:AB21)</f>
        <v>56650</v>
      </c>
      <c r="F81" s="858">
        <f>+SUM('Income Statement'!AC21:AN21)</f>
        <v>91730</v>
      </c>
      <c r="G81" s="858">
        <f>+SUM('Income Statement'!AO21:AZ21)</f>
        <v>147240</v>
      </c>
      <c r="H81" s="858">
        <f>+SUM('Income Statement'!BA21:BL21)</f>
        <v>248620</v>
      </c>
      <c r="I81" s="936"/>
      <c r="J81" s="559"/>
    </row>
    <row r="82" spans="2:10" ht="22.95" customHeight="1">
      <c r="B82" s="335" t="s">
        <v>503</v>
      </c>
      <c r="C82" s="266">
        <v>0</v>
      </c>
      <c r="D82" s="505">
        <v>15000</v>
      </c>
      <c r="E82" s="505">
        <v>60000</v>
      </c>
      <c r="F82" s="1401">
        <f>E82*(1+$I$82)</f>
        <v>90000</v>
      </c>
      <c r="G82" s="1401">
        <f aca="true" t="shared" si="32" ref="G82:H82">F82*(1+$I$82)</f>
        <v>135000</v>
      </c>
      <c r="H82" s="1401">
        <f t="shared" si="32"/>
        <v>202500</v>
      </c>
      <c r="I82" s="1381">
        <v>0.5</v>
      </c>
      <c r="J82" s="565"/>
    </row>
    <row r="83" spans="2:10" ht="22.95" customHeight="1">
      <c r="B83" s="335" t="s">
        <v>512</v>
      </c>
      <c r="C83" s="266">
        <v>0</v>
      </c>
      <c r="D83" s="1401">
        <f>+SUM('Income Statement'!E23:P23)</f>
        <v>0</v>
      </c>
      <c r="E83" s="1401">
        <f>+SUM('Income Statement'!Q23:AB23)</f>
        <v>0</v>
      </c>
      <c r="F83" s="1401">
        <f>+SUM('Income Statement'!AC23:AN23)</f>
        <v>2399.9999999999995</v>
      </c>
      <c r="G83" s="1401">
        <f>+SUM('Income Statement'!AO23:AZ23)</f>
        <v>2879.9999999999995</v>
      </c>
      <c r="H83" s="1401">
        <f>+SUM('Income Statement'!BA23:BL23)</f>
        <v>3455.9999999999995</v>
      </c>
      <c r="I83" s="938"/>
      <c r="J83" s="565"/>
    </row>
    <row r="84" spans="2:10" ht="22.95" customHeight="1">
      <c r="B84" s="333" t="s">
        <v>529</v>
      </c>
      <c r="C84" s="326">
        <v>0</v>
      </c>
      <c r="D84" s="504">
        <v>0</v>
      </c>
      <c r="E84" s="504">
        <v>10000</v>
      </c>
      <c r="F84" s="858">
        <f>E84*(1+$I$84)</f>
        <v>15000</v>
      </c>
      <c r="G84" s="858">
        <f>F84*(1+$I$84)</f>
        <v>22500</v>
      </c>
      <c r="H84" s="858">
        <f>G84*(1+$I$84)</f>
        <v>33750</v>
      </c>
      <c r="I84" s="1381">
        <v>0.5</v>
      </c>
      <c r="J84" s="565"/>
    </row>
    <row r="85" spans="2:11" ht="22.95" customHeight="1" hidden="1">
      <c r="B85" s="335"/>
      <c r="C85" s="266"/>
      <c r="D85" s="505"/>
      <c r="E85" s="505"/>
      <c r="F85" s="505"/>
      <c r="G85" s="505"/>
      <c r="H85" s="505"/>
      <c r="I85" s="938"/>
      <c r="J85" s="565"/>
      <c r="K85" s="863"/>
    </row>
    <row r="86" spans="2:10" ht="22.95" customHeight="1" hidden="1">
      <c r="B86" s="335"/>
      <c r="C86" s="266"/>
      <c r="D86" s="505"/>
      <c r="E86" s="505"/>
      <c r="F86" s="505"/>
      <c r="G86" s="505"/>
      <c r="H86" s="505"/>
      <c r="I86" s="938"/>
      <c r="J86" s="565"/>
    </row>
    <row r="87" spans="2:10" ht="22.95" customHeight="1">
      <c r="B87" s="332" t="s">
        <v>10</v>
      </c>
      <c r="C87" s="327"/>
      <c r="D87" s="505"/>
      <c r="E87" s="505"/>
      <c r="F87" s="860"/>
      <c r="G87" s="860"/>
      <c r="H87" s="860"/>
      <c r="I87" s="938"/>
      <c r="J87" s="565"/>
    </row>
    <row r="88" spans="2:10" ht="22.95" customHeight="1">
      <c r="B88" s="335" t="s">
        <v>531</v>
      </c>
      <c r="C88" s="326">
        <v>1000</v>
      </c>
      <c r="D88" s="504">
        <v>3000</v>
      </c>
      <c r="E88" s="663">
        <v>4000</v>
      </c>
      <c r="F88" s="663">
        <v>5000</v>
      </c>
      <c r="G88" s="663">
        <v>6000</v>
      </c>
      <c r="H88" s="663">
        <v>7000</v>
      </c>
      <c r="I88" s="936"/>
      <c r="J88" s="559"/>
    </row>
    <row r="89" spans="2:10" ht="22.95" customHeight="1" hidden="1">
      <c r="B89" s="335"/>
      <c r="C89" s="266"/>
      <c r="D89" s="505"/>
      <c r="E89" s="505"/>
      <c r="F89" s="860"/>
      <c r="G89" s="860"/>
      <c r="H89" s="860"/>
      <c r="I89" s="938"/>
      <c r="J89" s="565"/>
    </row>
    <row r="90" spans="2:10" ht="22.95" customHeight="1" hidden="1">
      <c r="B90" s="333"/>
      <c r="C90" s="266"/>
      <c r="D90" s="505"/>
      <c r="E90" s="505"/>
      <c r="F90" s="860"/>
      <c r="G90" s="860"/>
      <c r="H90" s="860"/>
      <c r="I90" s="938"/>
      <c r="J90" s="565"/>
    </row>
    <row r="91" spans="2:10" ht="22.95" customHeight="1" hidden="1">
      <c r="B91" s="333"/>
      <c r="C91" s="266"/>
      <c r="D91" s="505"/>
      <c r="E91" s="505"/>
      <c r="F91" s="860"/>
      <c r="G91" s="860"/>
      <c r="H91" s="860"/>
      <c r="I91" s="938"/>
      <c r="J91" s="565"/>
    </row>
    <row r="92" spans="2:10" ht="22.95" customHeight="1">
      <c r="B92" s="332" t="s">
        <v>1</v>
      </c>
      <c r="C92" s="327"/>
      <c r="D92" s="504"/>
      <c r="E92" s="504"/>
      <c r="F92" s="506"/>
      <c r="G92" s="506"/>
      <c r="H92" s="506"/>
      <c r="I92" s="938"/>
      <c r="J92" s="565"/>
    </row>
    <row r="93" spans="2:10" ht="22.95" customHeight="1">
      <c r="B93" s="335" t="s">
        <v>294</v>
      </c>
      <c r="C93" s="266">
        <v>0</v>
      </c>
      <c r="D93" s="504">
        <f aca="true" t="shared" si="33" ref="D93:E98">C93*(1+$I93)</f>
        <v>0</v>
      </c>
      <c r="E93" s="504">
        <v>3000</v>
      </c>
      <c r="F93" s="506">
        <f>E93*(1+$I93)</f>
        <v>3600</v>
      </c>
      <c r="G93" s="506">
        <f aca="true" t="shared" si="34" ref="G93:H93">F93*(1+$I93)</f>
        <v>4320</v>
      </c>
      <c r="H93" s="506">
        <f t="shared" si="34"/>
        <v>5184</v>
      </c>
      <c r="I93" s="936">
        <v>0.2</v>
      </c>
      <c r="J93" s="559"/>
    </row>
    <row r="94" spans="2:10" ht="22.95" customHeight="1">
      <c r="B94" s="1375" t="s">
        <v>298</v>
      </c>
      <c r="C94" s="266">
        <v>9000</v>
      </c>
      <c r="D94" s="504">
        <v>10000</v>
      </c>
      <c r="E94" s="504">
        <v>30000</v>
      </c>
      <c r="F94" s="506">
        <f aca="true" t="shared" si="35" ref="F94:H94">E94*(1+$I94)</f>
        <v>36000</v>
      </c>
      <c r="G94" s="506">
        <f t="shared" si="35"/>
        <v>43200</v>
      </c>
      <c r="H94" s="506">
        <f t="shared" si="35"/>
        <v>51840</v>
      </c>
      <c r="I94" s="936">
        <v>0.2</v>
      </c>
      <c r="J94" s="559"/>
    </row>
    <row r="95" spans="2:10" ht="22.95" customHeight="1">
      <c r="B95" s="335" t="s">
        <v>314</v>
      </c>
      <c r="C95" s="266">
        <v>0</v>
      </c>
      <c r="D95" s="505">
        <v>600</v>
      </c>
      <c r="E95" s="505">
        <f t="shared" si="33"/>
        <v>660</v>
      </c>
      <c r="F95" s="858">
        <f aca="true" t="shared" si="36" ref="F95:H95">E95*(1+$I95)</f>
        <v>726.0000000000001</v>
      </c>
      <c r="G95" s="858">
        <f t="shared" si="36"/>
        <v>798.6000000000001</v>
      </c>
      <c r="H95" s="858">
        <f t="shared" si="36"/>
        <v>878.4600000000003</v>
      </c>
      <c r="I95" s="936">
        <v>0.1</v>
      </c>
      <c r="J95" s="559"/>
    </row>
    <row r="96" spans="2:10" ht="22.95" customHeight="1">
      <c r="B96" s="333" t="s">
        <v>517</v>
      </c>
      <c r="C96" s="266">
        <v>0</v>
      </c>
      <c r="D96" s="504">
        <v>0</v>
      </c>
      <c r="E96" s="504">
        <v>10000</v>
      </c>
      <c r="F96" s="858">
        <f aca="true" t="shared" si="37" ref="F96:H96">E96*(1+$I96)</f>
        <v>11000</v>
      </c>
      <c r="G96" s="858">
        <f t="shared" si="37"/>
        <v>12100.000000000002</v>
      </c>
      <c r="H96" s="858">
        <f t="shared" si="37"/>
        <v>13310.000000000004</v>
      </c>
      <c r="I96" s="936">
        <v>0.1</v>
      </c>
      <c r="J96" s="559"/>
    </row>
    <row r="97" spans="2:10" ht="22.95" customHeight="1">
      <c r="B97" s="333" t="s">
        <v>290</v>
      </c>
      <c r="C97" s="266">
        <v>0</v>
      </c>
      <c r="D97" s="504">
        <f t="shared" si="33"/>
        <v>0</v>
      </c>
      <c r="E97" s="504">
        <v>500</v>
      </c>
      <c r="F97" s="858">
        <f aca="true" t="shared" si="38" ref="F97:H97">E97*(1+$I97)</f>
        <v>550</v>
      </c>
      <c r="G97" s="858">
        <f t="shared" si="38"/>
        <v>605</v>
      </c>
      <c r="H97" s="858">
        <f t="shared" si="38"/>
        <v>665.5</v>
      </c>
      <c r="I97" s="936">
        <v>0.1</v>
      </c>
      <c r="J97" s="559"/>
    </row>
    <row r="98" spans="2:10" ht="22.95" customHeight="1">
      <c r="B98" s="333" t="s">
        <v>295</v>
      </c>
      <c r="C98" s="266">
        <v>0</v>
      </c>
      <c r="D98" s="504">
        <f t="shared" si="33"/>
        <v>0</v>
      </c>
      <c r="E98" s="504">
        <v>5000</v>
      </c>
      <c r="F98" s="858">
        <f aca="true" t="shared" si="39" ref="F98:H98">E98*(1+$I98)</f>
        <v>5500</v>
      </c>
      <c r="G98" s="858">
        <f t="shared" si="39"/>
        <v>6050.000000000001</v>
      </c>
      <c r="H98" s="858">
        <f t="shared" si="39"/>
        <v>6655.000000000002</v>
      </c>
      <c r="I98" s="936">
        <v>0.1</v>
      </c>
      <c r="J98" s="559"/>
    </row>
    <row r="99" spans="2:10" ht="22.95" customHeight="1">
      <c r="B99" s="333" t="s">
        <v>560</v>
      </c>
      <c r="C99" s="266">
        <v>9000</v>
      </c>
      <c r="D99" s="504">
        <v>0</v>
      </c>
      <c r="E99" s="504">
        <v>50000</v>
      </c>
      <c r="F99" s="504">
        <v>60000</v>
      </c>
      <c r="G99" s="504">
        <v>70000</v>
      </c>
      <c r="H99" s="504">
        <v>80000</v>
      </c>
      <c r="I99" s="936"/>
      <c r="J99" s="559"/>
    </row>
    <row r="100" spans="2:10" ht="22.95" customHeight="1" hidden="1">
      <c r="B100" s="333"/>
      <c r="C100" s="266"/>
      <c r="D100" s="504"/>
      <c r="E100" s="506"/>
      <c r="F100" s="506"/>
      <c r="G100" s="506"/>
      <c r="H100" s="328"/>
      <c r="I100" s="936"/>
      <c r="J100" s="559"/>
    </row>
    <row r="101" spans="2:10" ht="22.95" customHeight="1" hidden="1">
      <c r="B101" s="333"/>
      <c r="C101" s="266"/>
      <c r="D101" s="506"/>
      <c r="E101" s="506"/>
      <c r="F101" s="506"/>
      <c r="G101" s="506"/>
      <c r="H101" s="506"/>
      <c r="I101" s="936"/>
      <c r="J101" s="559"/>
    </row>
    <row r="102" spans="2:10" ht="22.95" customHeight="1" hidden="1">
      <c r="B102" s="333"/>
      <c r="C102" s="266"/>
      <c r="D102" s="504"/>
      <c r="E102" s="504"/>
      <c r="F102" s="506"/>
      <c r="G102" s="506"/>
      <c r="H102" s="328"/>
      <c r="I102" s="936"/>
      <c r="J102" s="559"/>
    </row>
    <row r="103" spans="2:10" ht="22.95" customHeight="1">
      <c r="B103" s="336" t="s">
        <v>0</v>
      </c>
      <c r="C103" s="327"/>
      <c r="D103" s="504"/>
      <c r="E103" s="504"/>
      <c r="F103" s="504"/>
      <c r="G103" s="504"/>
      <c r="H103" s="266"/>
      <c r="I103" s="938"/>
      <c r="J103" s="565"/>
    </row>
    <row r="104" spans="2:16" s="330" customFormat="1" ht="22.95" customHeight="1">
      <c r="B104" s="333" t="s">
        <v>303</v>
      </c>
      <c r="C104" s="328">
        <f>+C156*1.36</f>
        <v>0</v>
      </c>
      <c r="D104" s="506">
        <f>+' HR Breakdown'!C11</f>
        <v>16727.338456790127</v>
      </c>
      <c r="E104" s="506">
        <f>+' HR Breakdown'!H11</f>
        <v>27108.399999999998</v>
      </c>
      <c r="F104" s="506">
        <f>+' HR Breakdown'!M11</f>
        <v>30804.999999999996</v>
      </c>
      <c r="G104" s="506">
        <f>+' HR Breakdown'!R11</f>
        <v>32037.199999999997</v>
      </c>
      <c r="H104" s="328">
        <f>+' HR Breakdown'!W11</f>
        <v>36966</v>
      </c>
      <c r="I104" s="941"/>
      <c r="J104" s="914">
        <v>0</v>
      </c>
      <c r="K104" s="4"/>
      <c r="L104" s="4"/>
      <c r="M104" s="4"/>
      <c r="N104" s="4"/>
      <c r="O104" s="4"/>
      <c r="P104" s="4"/>
    </row>
    <row r="105" spans="2:10" ht="22.95" customHeight="1">
      <c r="B105" s="333" t="s">
        <v>521</v>
      </c>
      <c r="C105" s="328">
        <f aca="true" t="shared" si="40" ref="C105:C111">+C157*1.36</f>
        <v>0</v>
      </c>
      <c r="D105" s="506">
        <f>+' HR Breakdown'!C12</f>
        <v>16386.297475720163</v>
      </c>
      <c r="E105" s="506">
        <f>(+' HR Breakdown'!H12)</f>
        <v>30293.429629629627</v>
      </c>
      <c r="F105" s="506">
        <f>(+' HR Breakdown'!M12)</f>
        <v>34424.35185185186</v>
      </c>
      <c r="G105" s="506">
        <f>(+' HR Breakdown'!R12)</f>
        <v>35801.32592592592</v>
      </c>
      <c r="H105" s="328">
        <f>(+' HR Breakdown'!W12)</f>
        <v>41309.22222222222</v>
      </c>
      <c r="I105" s="942"/>
      <c r="J105" s="914">
        <v>0</v>
      </c>
    </row>
    <row r="106" spans="2:10" ht="22.95" customHeight="1">
      <c r="B106" s="333" t="s">
        <v>522</v>
      </c>
      <c r="C106" s="328">
        <f t="shared" si="40"/>
        <v>0</v>
      </c>
      <c r="D106" s="506">
        <f>+' HR Breakdown'!C13</f>
        <v>16384.92050164609</v>
      </c>
      <c r="E106" s="506">
        <f>(+' HR Breakdown'!H13)</f>
        <v>30293.429629629627</v>
      </c>
      <c r="F106" s="506">
        <f>(+' HR Breakdown'!M13)</f>
        <v>30293.429629629627</v>
      </c>
      <c r="G106" s="506">
        <f>(+' HR Breakdown'!R13)</f>
        <v>33047.37777777778</v>
      </c>
      <c r="H106" s="328">
        <f>(+' HR Breakdown'!W13)</f>
        <v>33047.37777777778</v>
      </c>
      <c r="I106" s="942"/>
      <c r="J106" s="914">
        <v>0</v>
      </c>
    </row>
    <row r="107" spans="2:10" ht="22.95" customHeight="1">
      <c r="B107" s="333" t="s">
        <v>286</v>
      </c>
      <c r="C107" s="328">
        <f t="shared" si="40"/>
        <v>0</v>
      </c>
      <c r="D107" s="506">
        <f>+' HR Breakdown'!C14</f>
        <v>0</v>
      </c>
      <c r="E107" s="506">
        <f>(+' HR Breakdown'!H14)</f>
        <v>0</v>
      </c>
      <c r="F107" s="506">
        <f>(+' HR Breakdown'!M14)</f>
        <v>30293.429629629627</v>
      </c>
      <c r="G107" s="506">
        <f>(+' HR Breakdown'!R14)</f>
        <v>33047.37777777778</v>
      </c>
      <c r="H107" s="328">
        <f>(+' HR Breakdown'!W14)</f>
        <v>33047.37777777778</v>
      </c>
      <c r="I107" s="942"/>
      <c r="J107" s="914">
        <v>0</v>
      </c>
    </row>
    <row r="108" spans="2:10" ht="22.95" customHeight="1">
      <c r="B108" s="333" t="s">
        <v>523</v>
      </c>
      <c r="C108" s="328">
        <f t="shared" si="40"/>
        <v>0</v>
      </c>
      <c r="D108" s="506">
        <f>+' HR Breakdown'!C15</f>
        <v>0</v>
      </c>
      <c r="E108" s="506">
        <f>+' HR Breakdown'!H15</f>
        <v>0</v>
      </c>
      <c r="F108" s="506">
        <f>+' HR Breakdown'!M15</f>
        <v>30293.429629629627</v>
      </c>
      <c r="G108" s="506">
        <f>+' HR Breakdown'!R15</f>
        <v>30293.429629629627</v>
      </c>
      <c r="H108" s="328">
        <f>+' HR Breakdown'!W15</f>
        <v>30293.429629629627</v>
      </c>
      <c r="I108" s="938"/>
      <c r="J108" s="914">
        <v>0</v>
      </c>
    </row>
    <row r="109" spans="2:10" ht="22.95" customHeight="1">
      <c r="B109" s="333" t="s">
        <v>524</v>
      </c>
      <c r="C109" s="328">
        <f t="shared" si="40"/>
        <v>0</v>
      </c>
      <c r="D109" s="506">
        <f>+' HR Breakdown'!C16</f>
        <v>0</v>
      </c>
      <c r="E109" s="506">
        <f>+' HR Breakdown'!H16</f>
        <v>30293.429629629627</v>
      </c>
      <c r="F109" s="506">
        <f>+' HR Breakdown'!M16</f>
        <v>30293.429629629627</v>
      </c>
      <c r="G109" s="506">
        <f>+' HR Breakdown'!R16</f>
        <v>30293.429629629627</v>
      </c>
      <c r="H109" s="328">
        <f>+' HR Breakdown'!W16</f>
        <v>30293.429629629627</v>
      </c>
      <c r="I109" s="938"/>
      <c r="J109" s="914">
        <v>0</v>
      </c>
    </row>
    <row r="110" spans="2:10" ht="22.95" customHeight="1">
      <c r="B110" s="1373" t="s">
        <v>528</v>
      </c>
      <c r="C110" s="328">
        <f t="shared" si="40"/>
        <v>0</v>
      </c>
      <c r="D110" s="506">
        <f>+' HR Breakdown'!C17</f>
        <v>6884.87037037037</v>
      </c>
      <c r="E110" s="506">
        <f>+' HR Breakdown'!H17</f>
        <v>30293.429629629627</v>
      </c>
      <c r="F110" s="506">
        <f>+' HR Breakdown'!M17</f>
        <v>60586.859259259254</v>
      </c>
      <c r="G110" s="506">
        <f>+' HR Breakdown'!R17</f>
        <v>60586.859259259254</v>
      </c>
      <c r="H110" s="328">
        <f>+' HR Breakdown'!W17</f>
        <v>90880.2888888889</v>
      </c>
      <c r="I110" s="938"/>
      <c r="J110" s="914">
        <v>0</v>
      </c>
    </row>
    <row r="111" spans="2:10" ht="22.95" customHeight="1">
      <c r="B111" s="1373" t="s">
        <v>526</v>
      </c>
      <c r="C111" s="328">
        <f t="shared" si="40"/>
        <v>0</v>
      </c>
      <c r="D111" s="506">
        <f>+' HR Breakdown'!C18</f>
        <v>0</v>
      </c>
      <c r="E111" s="506">
        <f>+' HR Breakdown'!H18</f>
        <v>27539.481481481474</v>
      </c>
      <c r="F111" s="506">
        <f>+' HR Breakdown'!M18</f>
        <v>30293.429629629627</v>
      </c>
      <c r="G111" s="506">
        <f>+' HR Breakdown'!R18</f>
        <v>30293.429629629627</v>
      </c>
      <c r="H111" s="328">
        <f>+' HR Breakdown'!W18</f>
        <v>30293.429629629627</v>
      </c>
      <c r="I111" s="938"/>
      <c r="J111" s="914">
        <v>0</v>
      </c>
    </row>
    <row r="112" spans="2:10" ht="22.95" customHeight="1">
      <c r="B112" s="1373" t="s">
        <v>527</v>
      </c>
      <c r="C112" s="328">
        <f aca="true" t="shared" si="41" ref="C112:C124">+C164*1.36</f>
        <v>0</v>
      </c>
      <c r="D112" s="506">
        <f>+' HR Breakdown'!C19</f>
        <v>0</v>
      </c>
      <c r="E112" s="506">
        <f>+' HR Breakdown'!H19</f>
        <v>0</v>
      </c>
      <c r="F112" s="506">
        <f>+' HR Breakdown'!M19</f>
        <v>27539.481481481474</v>
      </c>
      <c r="G112" s="506">
        <f>+' HR Breakdown'!R19</f>
        <v>27539.481481481474</v>
      </c>
      <c r="H112" s="328">
        <f>+' HR Breakdown'!W19</f>
        <v>55078.96296296295</v>
      </c>
      <c r="I112" s="938"/>
      <c r="J112" s="914">
        <v>0</v>
      </c>
    </row>
    <row r="113" spans="2:10" ht="22.95" customHeight="1">
      <c r="B113" s="1373" t="s">
        <v>525</v>
      </c>
      <c r="C113" s="328">
        <f t="shared" si="41"/>
        <v>0</v>
      </c>
      <c r="D113" s="506">
        <f>+' HR Breakdown'!C20</f>
        <v>0</v>
      </c>
      <c r="E113" s="506">
        <f>+' HR Breakdown'!H20</f>
        <v>27539.481481481474</v>
      </c>
      <c r="F113" s="506">
        <f>+' HR Breakdown'!M20</f>
        <v>55078.96296296295</v>
      </c>
      <c r="G113" s="506">
        <f>+' HR Breakdown'!R20</f>
        <v>55078.96296296295</v>
      </c>
      <c r="H113" s="328">
        <f>+' HR Breakdown'!W20</f>
        <v>55078.96296296295</v>
      </c>
      <c r="I113" s="938"/>
      <c r="J113" s="914">
        <v>1</v>
      </c>
    </row>
    <row r="114" spans="2:10" ht="22.95" customHeight="1" hidden="1">
      <c r="B114" s="333"/>
      <c r="C114" s="328">
        <f t="shared" si="41"/>
        <v>0</v>
      </c>
      <c r="D114" s="506">
        <f>+' HR Breakdown'!C21</f>
        <v>0</v>
      </c>
      <c r="E114" s="506">
        <f>+' HR Breakdown'!H21</f>
        <v>0</v>
      </c>
      <c r="F114" s="506">
        <f>+' HR Breakdown'!M21</f>
        <v>0</v>
      </c>
      <c r="G114" s="506">
        <f>+' HR Breakdown'!R21</f>
        <v>0</v>
      </c>
      <c r="H114" s="328">
        <f>+' HR Breakdown'!W21</f>
        <v>0</v>
      </c>
      <c r="I114" s="938"/>
      <c r="J114" s="565"/>
    </row>
    <row r="115" spans="2:10" ht="22.95" customHeight="1" hidden="1">
      <c r="B115" s="333"/>
      <c r="C115" s="328">
        <f t="shared" si="41"/>
        <v>0</v>
      </c>
      <c r="D115" s="506">
        <f>+' HR Breakdown'!C22</f>
        <v>0</v>
      </c>
      <c r="E115" s="506">
        <f>+' HR Breakdown'!H22</f>
        <v>0</v>
      </c>
      <c r="F115" s="506">
        <f>+' HR Breakdown'!M22</f>
        <v>0</v>
      </c>
      <c r="G115" s="506">
        <f>+' HR Breakdown'!R22</f>
        <v>0</v>
      </c>
      <c r="H115" s="328">
        <f>+' HR Breakdown'!W22</f>
        <v>0</v>
      </c>
      <c r="I115" s="938"/>
      <c r="J115" s="565"/>
    </row>
    <row r="116" spans="2:10" ht="22.95" customHeight="1" hidden="1">
      <c r="B116" s="333"/>
      <c r="C116" s="328">
        <f t="shared" si="41"/>
        <v>0</v>
      </c>
      <c r="D116" s="506">
        <f>+' HR Breakdown'!C23</f>
        <v>0</v>
      </c>
      <c r="E116" s="506">
        <f>+' HR Breakdown'!H23</f>
        <v>0</v>
      </c>
      <c r="F116" s="506">
        <f>+' HR Breakdown'!M23</f>
        <v>0</v>
      </c>
      <c r="G116" s="506">
        <f>+' HR Breakdown'!R23</f>
        <v>0</v>
      </c>
      <c r="H116" s="328">
        <f>+' HR Breakdown'!W23</f>
        <v>0</v>
      </c>
      <c r="I116" s="938"/>
      <c r="J116" s="565"/>
    </row>
    <row r="117" spans="2:10" ht="22.95" customHeight="1" hidden="1">
      <c r="B117" s="333"/>
      <c r="C117" s="328">
        <f t="shared" si="41"/>
        <v>0</v>
      </c>
      <c r="D117" s="506">
        <f>+' HR Breakdown'!C24</f>
        <v>0</v>
      </c>
      <c r="E117" s="506">
        <f>+' HR Breakdown'!H24</f>
        <v>0</v>
      </c>
      <c r="F117" s="506">
        <f>+' HR Breakdown'!M24</f>
        <v>0</v>
      </c>
      <c r="G117" s="506">
        <f>+' HR Breakdown'!R24</f>
        <v>0</v>
      </c>
      <c r="H117" s="328">
        <f>+' HR Breakdown'!W24</f>
        <v>0</v>
      </c>
      <c r="I117" s="938"/>
      <c r="J117" s="565"/>
    </row>
    <row r="118" spans="2:10" ht="22.95" customHeight="1" hidden="1">
      <c r="B118" s="333"/>
      <c r="C118" s="328">
        <f t="shared" si="41"/>
        <v>0</v>
      </c>
      <c r="D118" s="506">
        <f>+' HR Breakdown'!C25</f>
        <v>0</v>
      </c>
      <c r="E118" s="506">
        <f>+' HR Breakdown'!H25</f>
        <v>0</v>
      </c>
      <c r="F118" s="506">
        <f>+' HR Breakdown'!M25</f>
        <v>0</v>
      </c>
      <c r="G118" s="506">
        <f>+' HR Breakdown'!R25</f>
        <v>0</v>
      </c>
      <c r="H118" s="328">
        <f>+' HR Breakdown'!W25</f>
        <v>0</v>
      </c>
      <c r="I118" s="938"/>
      <c r="J118" s="565"/>
    </row>
    <row r="119" spans="2:10" ht="22.95" customHeight="1" hidden="1">
      <c r="B119" s="333"/>
      <c r="C119" s="328">
        <f t="shared" si="41"/>
        <v>0</v>
      </c>
      <c r="D119" s="506">
        <f>+' HR Breakdown'!C26</f>
        <v>0</v>
      </c>
      <c r="E119" s="506">
        <f>+' HR Breakdown'!H26</f>
        <v>0</v>
      </c>
      <c r="F119" s="506">
        <f>+' HR Breakdown'!M26</f>
        <v>0</v>
      </c>
      <c r="G119" s="506">
        <f>+' HR Breakdown'!R26</f>
        <v>0</v>
      </c>
      <c r="H119" s="328">
        <f>+' HR Breakdown'!W26</f>
        <v>0</v>
      </c>
      <c r="I119" s="938"/>
      <c r="J119" s="565"/>
    </row>
    <row r="120" spans="2:10" ht="22.95" customHeight="1" hidden="1">
      <c r="B120" s="333"/>
      <c r="C120" s="328">
        <f t="shared" si="41"/>
        <v>0</v>
      </c>
      <c r="D120" s="506">
        <f>+' HR Breakdown'!C27</f>
        <v>0</v>
      </c>
      <c r="E120" s="506">
        <f>+' HR Breakdown'!H27</f>
        <v>0</v>
      </c>
      <c r="F120" s="506">
        <f>+' HR Breakdown'!M27</f>
        <v>0</v>
      </c>
      <c r="G120" s="506">
        <f>+' HR Breakdown'!R27</f>
        <v>0</v>
      </c>
      <c r="H120" s="328">
        <f>+' HR Breakdown'!W27</f>
        <v>0</v>
      </c>
      <c r="I120" s="938"/>
      <c r="J120" s="565"/>
    </row>
    <row r="121" spans="2:10" ht="22.95" customHeight="1" hidden="1">
      <c r="B121" s="333"/>
      <c r="C121" s="328">
        <f t="shared" si="41"/>
        <v>0</v>
      </c>
      <c r="D121" s="506">
        <f>+' HR Breakdown'!C28</f>
        <v>0</v>
      </c>
      <c r="E121" s="506">
        <f>+' HR Breakdown'!H28</f>
        <v>0</v>
      </c>
      <c r="F121" s="506">
        <f>+' HR Breakdown'!M28</f>
        <v>0</v>
      </c>
      <c r="G121" s="506">
        <f>+' HR Breakdown'!R28</f>
        <v>0</v>
      </c>
      <c r="H121" s="328">
        <f>+' HR Breakdown'!W28</f>
        <v>0</v>
      </c>
      <c r="I121" s="938"/>
      <c r="J121" s="565"/>
    </row>
    <row r="122" spans="2:10" ht="22.95" customHeight="1" hidden="1">
      <c r="B122" s="333"/>
      <c r="C122" s="328">
        <f t="shared" si="41"/>
        <v>0</v>
      </c>
      <c r="D122" s="506">
        <f>+' HR Breakdown'!C29</f>
        <v>0</v>
      </c>
      <c r="E122" s="506">
        <f>+' HR Breakdown'!H29</f>
        <v>0</v>
      </c>
      <c r="F122" s="506">
        <f>+' HR Breakdown'!M29</f>
        <v>0</v>
      </c>
      <c r="G122" s="506">
        <f>+' HR Breakdown'!R29</f>
        <v>0</v>
      </c>
      <c r="H122" s="328">
        <f>+' HR Breakdown'!W29</f>
        <v>0</v>
      </c>
      <c r="I122" s="938"/>
      <c r="J122" s="565"/>
    </row>
    <row r="123" spans="2:10" ht="22.95" customHeight="1" hidden="1">
      <c r="B123" s="333"/>
      <c r="C123" s="328">
        <f t="shared" si="41"/>
        <v>0</v>
      </c>
      <c r="D123" s="506">
        <f>+' HR Breakdown'!C30</f>
        <v>0</v>
      </c>
      <c r="E123" s="506">
        <f>+' HR Breakdown'!H30</f>
        <v>0</v>
      </c>
      <c r="F123" s="506">
        <f>+' HR Breakdown'!M30</f>
        <v>0</v>
      </c>
      <c r="G123" s="506">
        <f>+' HR Breakdown'!R30</f>
        <v>0</v>
      </c>
      <c r="H123" s="328">
        <f>+' HR Breakdown'!W30</f>
        <v>0</v>
      </c>
      <c r="I123" s="938"/>
      <c r="J123" s="565"/>
    </row>
    <row r="124" spans="2:10" ht="22.95" customHeight="1" hidden="1">
      <c r="B124" s="333"/>
      <c r="C124" s="328">
        <f t="shared" si="41"/>
        <v>0</v>
      </c>
      <c r="D124" s="506">
        <f>+' HR Breakdown'!C31</f>
        <v>0</v>
      </c>
      <c r="E124" s="506">
        <f>+' HR Breakdown'!H31</f>
        <v>0</v>
      </c>
      <c r="F124" s="506">
        <f>+' HR Breakdown'!M31</f>
        <v>0</v>
      </c>
      <c r="G124" s="506">
        <f>+' HR Breakdown'!R31</f>
        <v>0</v>
      </c>
      <c r="H124" s="328">
        <f>+' HR Breakdown'!W31</f>
        <v>0</v>
      </c>
      <c r="I124" s="938"/>
      <c r="J124" s="565"/>
    </row>
    <row r="125" spans="2:10" ht="22.95" customHeight="1" thickBot="1">
      <c r="B125" s="334"/>
      <c r="C125" s="329"/>
      <c r="D125" s="507"/>
      <c r="E125" s="507"/>
      <c r="F125" s="507"/>
      <c r="G125" s="507"/>
      <c r="H125" s="329"/>
      <c r="I125" s="939"/>
      <c r="J125" s="566"/>
    </row>
    <row r="126" spans="3:8" ht="22.95" customHeight="1">
      <c r="C126" s="953"/>
      <c r="D126" s="263"/>
      <c r="E126" s="263"/>
      <c r="F126" s="263"/>
      <c r="G126" s="263"/>
      <c r="H126" s="263"/>
    </row>
    <row r="127" ht="22.95" customHeight="1" thickBot="1"/>
    <row r="128" spans="2:8" ht="18.6" thickBot="1">
      <c r="B128" s="362" t="s">
        <v>183</v>
      </c>
      <c r="C128" s="363"/>
      <c r="D128" s="510"/>
      <c r="E128" s="364"/>
      <c r="F128" s="364"/>
      <c r="G128" s="364"/>
      <c r="H128" s="364"/>
    </row>
    <row r="129" spans="2:8" ht="18.6" thickBot="1">
      <c r="B129" s="361" t="s">
        <v>0</v>
      </c>
      <c r="C129" s="244"/>
      <c r="D129" s="511"/>
      <c r="E129" s="245"/>
      <c r="F129" s="245"/>
      <c r="G129" s="245"/>
      <c r="H129" s="245"/>
    </row>
    <row r="130" spans="2:8" ht="15.75">
      <c r="B130" s="333" t="str">
        <f aca="true" t="shared" si="42" ref="B130:B150">+B104</f>
        <v>CEO</v>
      </c>
      <c r="C130" s="246">
        <v>1</v>
      </c>
      <c r="D130" s="512">
        <v>1</v>
      </c>
      <c r="E130" s="247">
        <v>1</v>
      </c>
      <c r="F130" s="247">
        <v>1</v>
      </c>
      <c r="G130" s="247">
        <v>1</v>
      </c>
      <c r="H130" s="247">
        <v>1</v>
      </c>
    </row>
    <row r="131" spans="2:8" ht="15.75">
      <c r="B131" s="333" t="str">
        <f t="shared" si="42"/>
        <v>COO</v>
      </c>
      <c r="C131" s="468">
        <v>1</v>
      </c>
      <c r="D131" s="513">
        <v>1</v>
      </c>
      <c r="E131" s="248">
        <v>1</v>
      </c>
      <c r="F131" s="248">
        <v>1</v>
      </c>
      <c r="G131" s="248">
        <v>1</v>
      </c>
      <c r="H131" s="248">
        <v>1</v>
      </c>
    </row>
    <row r="132" spans="2:8" ht="15.75">
      <c r="B132" s="333" t="str">
        <f t="shared" si="42"/>
        <v>CFO</v>
      </c>
      <c r="C132" s="468">
        <v>1</v>
      </c>
      <c r="D132" s="513">
        <v>1</v>
      </c>
      <c r="E132" s="248">
        <v>1</v>
      </c>
      <c r="F132" s="248">
        <v>1</v>
      </c>
      <c r="G132" s="248">
        <v>1</v>
      </c>
      <c r="H132" s="248">
        <v>1</v>
      </c>
    </row>
    <row r="133" spans="2:8" ht="15.75">
      <c r="B133" s="333" t="str">
        <f t="shared" si="42"/>
        <v>CTO</v>
      </c>
      <c r="C133" s="468">
        <v>0</v>
      </c>
      <c r="D133" s="513">
        <v>1</v>
      </c>
      <c r="E133" s="248">
        <v>1</v>
      </c>
      <c r="F133" s="248">
        <v>1</v>
      </c>
      <c r="G133" s="248">
        <v>1</v>
      </c>
      <c r="H133" s="248">
        <v>1</v>
      </c>
    </row>
    <row r="134" spans="2:8" ht="15.75">
      <c r="B134" s="333" t="str">
        <f t="shared" si="42"/>
        <v>Sales Manager</v>
      </c>
      <c r="C134" s="468">
        <v>0</v>
      </c>
      <c r="D134" s="513">
        <v>0</v>
      </c>
      <c r="E134" s="248">
        <v>0</v>
      </c>
      <c r="F134" s="248">
        <v>1</v>
      </c>
      <c r="G134" s="248">
        <v>1</v>
      </c>
      <c r="H134" s="248">
        <v>1</v>
      </c>
    </row>
    <row r="135" spans="2:8" ht="15.75">
      <c r="B135" s="333" t="str">
        <f t="shared" si="42"/>
        <v>Business Developer</v>
      </c>
      <c r="C135" s="468">
        <v>0</v>
      </c>
      <c r="D135" s="513">
        <v>0</v>
      </c>
      <c r="E135" s="513">
        <v>1</v>
      </c>
      <c r="F135" s="513">
        <v>1</v>
      </c>
      <c r="G135" s="513">
        <v>1</v>
      </c>
      <c r="H135" s="513">
        <v>1</v>
      </c>
    </row>
    <row r="136" spans="2:8" ht="15.75">
      <c r="B136" s="333" t="str">
        <f t="shared" si="42"/>
        <v>Account Manager</v>
      </c>
      <c r="C136" s="468">
        <v>0</v>
      </c>
      <c r="D136" s="513">
        <v>1</v>
      </c>
      <c r="E136" s="513">
        <v>1</v>
      </c>
      <c r="F136" s="513">
        <v>2</v>
      </c>
      <c r="G136" s="513">
        <v>2</v>
      </c>
      <c r="H136" s="513">
        <v>3</v>
      </c>
    </row>
    <row r="137" spans="2:8" ht="15.75">
      <c r="B137" s="333" t="str">
        <f t="shared" si="42"/>
        <v>CMO</v>
      </c>
      <c r="C137" s="248">
        <v>0</v>
      </c>
      <c r="D137" s="248">
        <v>0</v>
      </c>
      <c r="E137" s="248">
        <v>1</v>
      </c>
      <c r="F137" s="248">
        <v>1</v>
      </c>
      <c r="G137" s="248">
        <v>1</v>
      </c>
      <c r="H137" s="248">
        <v>1</v>
      </c>
    </row>
    <row r="138" spans="2:8" ht="15.75">
      <c r="B138" s="333" t="str">
        <f t="shared" si="42"/>
        <v>Marketing Specialist</v>
      </c>
      <c r="C138" s="248">
        <v>0</v>
      </c>
      <c r="D138" s="248">
        <v>0</v>
      </c>
      <c r="E138" s="248">
        <v>0</v>
      </c>
      <c r="F138" s="248">
        <v>1</v>
      </c>
      <c r="G138" s="248">
        <v>1</v>
      </c>
      <c r="H138" s="248">
        <v>2</v>
      </c>
    </row>
    <row r="139" spans="2:8" ht="15.75">
      <c r="B139" s="333" t="str">
        <f t="shared" si="42"/>
        <v>Junior Developer</v>
      </c>
      <c r="C139" s="248">
        <v>0</v>
      </c>
      <c r="D139" s="248">
        <v>0</v>
      </c>
      <c r="E139" s="248">
        <v>1</v>
      </c>
      <c r="F139" s="248">
        <v>2</v>
      </c>
      <c r="G139" s="248">
        <v>2</v>
      </c>
      <c r="H139" s="248">
        <v>2</v>
      </c>
    </row>
    <row r="140" spans="2:8" ht="15.75" hidden="1">
      <c r="B140" s="333">
        <f t="shared" si="42"/>
        <v>0</v>
      </c>
      <c r="C140" s="248">
        <v>0</v>
      </c>
      <c r="D140" s="248">
        <v>0</v>
      </c>
      <c r="E140" s="248">
        <v>0</v>
      </c>
      <c r="F140" s="248">
        <v>0</v>
      </c>
      <c r="G140" s="248">
        <v>0</v>
      </c>
      <c r="H140" s="248">
        <v>0</v>
      </c>
    </row>
    <row r="141" spans="2:8" ht="15.75" hidden="1">
      <c r="B141" s="333">
        <f t="shared" si="42"/>
        <v>0</v>
      </c>
      <c r="C141" s="248">
        <v>0</v>
      </c>
      <c r="D141" s="248">
        <v>0</v>
      </c>
      <c r="E141" s="248">
        <v>0</v>
      </c>
      <c r="F141" s="248">
        <v>0</v>
      </c>
      <c r="G141" s="248">
        <v>0</v>
      </c>
      <c r="H141" s="248">
        <v>0</v>
      </c>
    </row>
    <row r="142" spans="2:8" ht="15.75" hidden="1">
      <c r="B142" s="333">
        <f t="shared" si="42"/>
        <v>0</v>
      </c>
      <c r="C142" s="248">
        <v>0</v>
      </c>
      <c r="D142" s="248">
        <v>0</v>
      </c>
      <c r="E142" s="248">
        <v>0</v>
      </c>
      <c r="F142" s="248">
        <v>0</v>
      </c>
      <c r="G142" s="248">
        <v>0</v>
      </c>
      <c r="H142" s="248">
        <v>0</v>
      </c>
    </row>
    <row r="143" spans="2:8" ht="15.75" hidden="1">
      <c r="B143" s="333">
        <f t="shared" si="42"/>
        <v>0</v>
      </c>
      <c r="C143" s="248">
        <v>0</v>
      </c>
      <c r="D143" s="248">
        <v>0</v>
      </c>
      <c r="E143" s="248">
        <v>0</v>
      </c>
      <c r="F143" s="248">
        <v>0</v>
      </c>
      <c r="G143" s="248">
        <v>0</v>
      </c>
      <c r="H143" s="248">
        <v>0</v>
      </c>
    </row>
    <row r="144" spans="2:8" ht="15.75" hidden="1">
      <c r="B144" s="333">
        <f t="shared" si="42"/>
        <v>0</v>
      </c>
      <c r="C144" s="248">
        <v>0</v>
      </c>
      <c r="D144" s="248">
        <v>0</v>
      </c>
      <c r="E144" s="248">
        <v>0</v>
      </c>
      <c r="F144" s="248">
        <v>0</v>
      </c>
      <c r="G144" s="248">
        <v>0</v>
      </c>
      <c r="H144" s="248">
        <v>0</v>
      </c>
    </row>
    <row r="145" spans="2:8" ht="15.75" hidden="1">
      <c r="B145" s="333">
        <f t="shared" si="42"/>
        <v>0</v>
      </c>
      <c r="C145" s="248">
        <v>0</v>
      </c>
      <c r="D145" s="248">
        <v>0</v>
      </c>
      <c r="E145" s="248">
        <v>0</v>
      </c>
      <c r="F145" s="248">
        <v>0</v>
      </c>
      <c r="G145" s="248">
        <v>0</v>
      </c>
      <c r="H145" s="248">
        <v>0</v>
      </c>
    </row>
    <row r="146" spans="2:8" ht="15.75" hidden="1">
      <c r="B146" s="333">
        <f t="shared" si="42"/>
        <v>0</v>
      </c>
      <c r="C146" s="248">
        <v>0</v>
      </c>
      <c r="D146" s="248">
        <v>0</v>
      </c>
      <c r="E146" s="248">
        <v>0</v>
      </c>
      <c r="F146" s="248">
        <v>0</v>
      </c>
      <c r="G146" s="248">
        <v>0</v>
      </c>
      <c r="H146" s="248">
        <v>0</v>
      </c>
    </row>
    <row r="147" spans="2:8" ht="15.75" hidden="1">
      <c r="B147" s="333">
        <f t="shared" si="42"/>
        <v>0</v>
      </c>
      <c r="C147" s="248">
        <v>0</v>
      </c>
      <c r="D147" s="248">
        <v>0</v>
      </c>
      <c r="E147" s="248">
        <v>0</v>
      </c>
      <c r="F147" s="248">
        <v>0</v>
      </c>
      <c r="G147" s="248">
        <v>0</v>
      </c>
      <c r="H147" s="248">
        <v>0</v>
      </c>
    </row>
    <row r="148" spans="2:8" ht="15.75" hidden="1">
      <c r="B148" s="333">
        <f t="shared" si="42"/>
        <v>0</v>
      </c>
      <c r="C148" s="248">
        <v>0</v>
      </c>
      <c r="D148" s="248">
        <v>0</v>
      </c>
      <c r="E148" s="248">
        <v>0</v>
      </c>
      <c r="F148" s="248">
        <v>0</v>
      </c>
      <c r="G148" s="248">
        <v>0</v>
      </c>
      <c r="H148" s="248">
        <v>0</v>
      </c>
    </row>
    <row r="149" spans="2:8" ht="15.75" hidden="1">
      <c r="B149" s="333">
        <f t="shared" si="42"/>
        <v>0</v>
      </c>
      <c r="C149" s="248">
        <v>0</v>
      </c>
      <c r="D149" s="248">
        <v>0</v>
      </c>
      <c r="E149" s="248">
        <v>0</v>
      </c>
      <c r="F149" s="248">
        <v>0</v>
      </c>
      <c r="G149" s="248">
        <v>0</v>
      </c>
      <c r="H149" s="248">
        <v>0</v>
      </c>
    </row>
    <row r="150" spans="2:8" ht="15.75" hidden="1">
      <c r="B150" s="333">
        <f t="shared" si="42"/>
        <v>0</v>
      </c>
      <c r="C150" s="248">
        <v>0</v>
      </c>
      <c r="D150" s="248">
        <v>0</v>
      </c>
      <c r="E150" s="248">
        <v>0</v>
      </c>
      <c r="F150" s="248">
        <v>0</v>
      </c>
      <c r="G150" s="248">
        <v>0</v>
      </c>
      <c r="H150" s="248">
        <v>0</v>
      </c>
    </row>
    <row r="151" spans="2:8" ht="18.6" thickBot="1">
      <c r="B151" s="334"/>
      <c r="C151" s="249"/>
      <c r="D151" s="249"/>
      <c r="E151" s="249"/>
      <c r="F151" s="249"/>
      <c r="G151" s="249"/>
      <c r="H151" s="249"/>
    </row>
    <row r="152" spans="3:8" ht="15.75">
      <c r="C152" s="243">
        <f aca="true" t="shared" si="43" ref="C152:H152">+SUM(C130:C151)</f>
        <v>3</v>
      </c>
      <c r="D152" s="243">
        <f t="shared" si="43"/>
        <v>5</v>
      </c>
      <c r="E152" s="243">
        <f t="shared" si="43"/>
        <v>8</v>
      </c>
      <c r="F152" s="243">
        <f t="shared" si="43"/>
        <v>12</v>
      </c>
      <c r="G152" s="243">
        <f t="shared" si="43"/>
        <v>12</v>
      </c>
      <c r="H152" s="243">
        <f t="shared" si="43"/>
        <v>14</v>
      </c>
    </row>
    <row r="153" ht="18.6" thickBot="1"/>
    <row r="154" spans="2:8" ht="18.6" thickBot="1">
      <c r="B154" s="362" t="s">
        <v>226</v>
      </c>
      <c r="C154" s="365"/>
      <c r="D154" s="514"/>
      <c r="E154" s="366"/>
      <c r="F154" s="366"/>
      <c r="G154" s="366"/>
      <c r="H154" s="366"/>
    </row>
    <row r="155" spans="2:9" ht="18.6" thickBot="1">
      <c r="B155" s="361" t="s">
        <v>0</v>
      </c>
      <c r="C155" s="244"/>
      <c r="D155" s="511"/>
      <c r="E155" s="245"/>
      <c r="F155" s="245"/>
      <c r="G155" s="245"/>
      <c r="H155" s="245"/>
      <c r="I155" s="556" t="s">
        <v>247</v>
      </c>
    </row>
    <row r="156" spans="2:9" ht="15.75">
      <c r="B156" s="333" t="str">
        <f aca="true" t="shared" si="44" ref="B156:B176">+B130</f>
        <v>CEO</v>
      </c>
      <c r="C156" s="515">
        <v>0</v>
      </c>
      <c r="D156" s="515">
        <f>+SUM(' HR Breakdown'!G68:N68)</f>
        <v>8965.333333333332</v>
      </c>
      <c r="E156" s="515">
        <v>22000</v>
      </c>
      <c r="F156" s="1397">
        <v>25000</v>
      </c>
      <c r="G156" s="1397">
        <v>26000</v>
      </c>
      <c r="H156" s="1397">
        <v>30000</v>
      </c>
      <c r="I156" s="559"/>
    </row>
    <row r="157" spans="2:9" ht="15.75">
      <c r="B157" s="333" t="str">
        <f t="shared" si="44"/>
        <v>COO</v>
      </c>
      <c r="C157" s="516">
        <v>0</v>
      </c>
      <c r="D157" s="516">
        <f>+SUM(' HR Breakdown'!G69:N69)</f>
        <v>8963.333333333332</v>
      </c>
      <c r="E157" s="508">
        <v>22000</v>
      </c>
      <c r="F157" s="508">
        <v>25000</v>
      </c>
      <c r="G157" s="508">
        <v>26000</v>
      </c>
      <c r="H157" s="508">
        <v>30000</v>
      </c>
      <c r="I157" s="559"/>
    </row>
    <row r="158" spans="2:9" ht="15.75">
      <c r="B158" s="333" t="str">
        <f t="shared" si="44"/>
        <v>CFO</v>
      </c>
      <c r="C158" s="516"/>
      <c r="D158" s="516">
        <f>+SUM(' HR Breakdown'!G70:N70)</f>
        <v>8963.333333333332</v>
      </c>
      <c r="E158" s="516">
        <v>22000</v>
      </c>
      <c r="F158" s="508">
        <v>22000</v>
      </c>
      <c r="G158" s="508">
        <v>24000</v>
      </c>
      <c r="H158" s="508">
        <v>24000</v>
      </c>
      <c r="I158" s="559"/>
    </row>
    <row r="159" spans="2:9" ht="15.75">
      <c r="B159" s="333" t="str">
        <f t="shared" si="44"/>
        <v>CTO</v>
      </c>
      <c r="C159" s="516"/>
      <c r="D159" s="516"/>
      <c r="E159" s="516"/>
      <c r="F159" s="516">
        <v>22000</v>
      </c>
      <c r="G159" s="516">
        <v>24000</v>
      </c>
      <c r="H159" s="516">
        <v>24000</v>
      </c>
      <c r="I159" s="559"/>
    </row>
    <row r="160" spans="2:9" ht="15.75">
      <c r="B160" s="333" t="str">
        <f t="shared" si="44"/>
        <v>Sales Manager</v>
      </c>
      <c r="C160" s="516"/>
      <c r="D160" s="516"/>
      <c r="E160" s="516"/>
      <c r="F160" s="508">
        <v>22000</v>
      </c>
      <c r="G160" s="508">
        <v>22000</v>
      </c>
      <c r="H160" s="516">
        <v>22000</v>
      </c>
      <c r="I160" s="559"/>
    </row>
    <row r="161" spans="2:9" ht="15.75">
      <c r="B161" s="333" t="str">
        <f t="shared" si="44"/>
        <v>Business Developer</v>
      </c>
      <c r="C161" s="250"/>
      <c r="D161" s="516">
        <v>5000</v>
      </c>
      <c r="E161" s="516">
        <v>22000</v>
      </c>
      <c r="F161" s="508">
        <f>E161</f>
        <v>22000</v>
      </c>
      <c r="G161" s="516">
        <f aca="true" t="shared" si="45" ref="G161:H161">F161</f>
        <v>22000</v>
      </c>
      <c r="H161" s="516">
        <f t="shared" si="45"/>
        <v>22000</v>
      </c>
      <c r="I161" s="559"/>
    </row>
    <row r="162" spans="2:9" ht="15.75">
      <c r="B162" s="333" t="str">
        <f t="shared" si="44"/>
        <v>Account Manager</v>
      </c>
      <c r="C162" s="250"/>
      <c r="D162" s="516">
        <v>5000</v>
      </c>
      <c r="E162" s="508">
        <v>22000</v>
      </c>
      <c r="F162" s="508">
        <f>E162</f>
        <v>22000</v>
      </c>
      <c r="G162" s="508">
        <f aca="true" t="shared" si="46" ref="G162:H162">F162</f>
        <v>22000</v>
      </c>
      <c r="H162" s="508">
        <f t="shared" si="46"/>
        <v>22000</v>
      </c>
      <c r="I162" s="559"/>
    </row>
    <row r="163" spans="2:9" ht="15.75">
      <c r="B163" s="333" t="str">
        <f t="shared" si="44"/>
        <v>CMO</v>
      </c>
      <c r="C163" s="250"/>
      <c r="D163" s="516"/>
      <c r="E163" s="508">
        <v>20000</v>
      </c>
      <c r="F163" s="508">
        <v>22000</v>
      </c>
      <c r="G163" s="508">
        <f>F163</f>
        <v>22000</v>
      </c>
      <c r="H163" s="508">
        <f>G163</f>
        <v>22000</v>
      </c>
      <c r="I163" s="559"/>
    </row>
    <row r="164" spans="2:9" ht="15.75">
      <c r="B164" s="333" t="str">
        <f t="shared" si="44"/>
        <v>Marketing Specialist</v>
      </c>
      <c r="C164" s="250"/>
      <c r="D164" s="516"/>
      <c r="E164" s="508"/>
      <c r="F164" s="508">
        <v>20000</v>
      </c>
      <c r="G164" s="508">
        <f>F164</f>
        <v>20000</v>
      </c>
      <c r="H164" s="508">
        <f>G164</f>
        <v>20000</v>
      </c>
      <c r="I164" s="559"/>
    </row>
    <row r="165" spans="2:9" ht="15.75">
      <c r="B165" s="333" t="str">
        <f t="shared" si="44"/>
        <v>Junior Developer</v>
      </c>
      <c r="C165" s="250"/>
      <c r="D165" s="516"/>
      <c r="E165" s="508">
        <v>20000</v>
      </c>
      <c r="F165" s="508">
        <f aca="true" t="shared" si="47" ref="F165:F176">+E165*(1+$I$156)</f>
        <v>20000</v>
      </c>
      <c r="G165" s="508">
        <f aca="true" t="shared" si="48" ref="G165:G176">+F165*(1+$I$156)</f>
        <v>20000</v>
      </c>
      <c r="H165" s="508">
        <f aca="true" t="shared" si="49" ref="H165:H176">+G165*(1+$I$156)</f>
        <v>20000</v>
      </c>
      <c r="I165" s="565"/>
    </row>
    <row r="166" spans="2:9" ht="15.75" hidden="1">
      <c r="B166" s="333">
        <f t="shared" si="44"/>
        <v>0</v>
      </c>
      <c r="C166" s="250"/>
      <c r="D166" s="516"/>
      <c r="E166" s="508"/>
      <c r="F166" s="508">
        <f t="shared" si="47"/>
        <v>0</v>
      </c>
      <c r="G166" s="508">
        <f t="shared" si="48"/>
        <v>0</v>
      </c>
      <c r="H166" s="508">
        <f t="shared" si="49"/>
        <v>0</v>
      </c>
      <c r="I166" s="565"/>
    </row>
    <row r="167" spans="2:9" ht="15.75" hidden="1">
      <c r="B167" s="333">
        <f t="shared" si="44"/>
        <v>0</v>
      </c>
      <c r="C167" s="250"/>
      <c r="D167" s="516"/>
      <c r="E167" s="508"/>
      <c r="F167" s="508">
        <f t="shared" si="47"/>
        <v>0</v>
      </c>
      <c r="G167" s="508">
        <f t="shared" si="48"/>
        <v>0</v>
      </c>
      <c r="H167" s="508">
        <f t="shared" si="49"/>
        <v>0</v>
      </c>
      <c r="I167" s="565"/>
    </row>
    <row r="168" spans="2:9" ht="15.75" hidden="1">
      <c r="B168" s="333">
        <f t="shared" si="44"/>
        <v>0</v>
      </c>
      <c r="C168" s="250"/>
      <c r="D168" s="516"/>
      <c r="E168" s="508"/>
      <c r="F168" s="508">
        <f t="shared" si="47"/>
        <v>0</v>
      </c>
      <c r="G168" s="508">
        <f t="shared" si="48"/>
        <v>0</v>
      </c>
      <c r="H168" s="508">
        <f t="shared" si="49"/>
        <v>0</v>
      </c>
      <c r="I168" s="565"/>
    </row>
    <row r="169" spans="2:9" ht="15.75" hidden="1">
      <c r="B169" s="333">
        <f t="shared" si="44"/>
        <v>0</v>
      </c>
      <c r="C169" s="250"/>
      <c r="D169" s="516"/>
      <c r="E169" s="508"/>
      <c r="F169" s="508">
        <f t="shared" si="47"/>
        <v>0</v>
      </c>
      <c r="G169" s="508">
        <f t="shared" si="48"/>
        <v>0</v>
      </c>
      <c r="H169" s="508">
        <f t="shared" si="49"/>
        <v>0</v>
      </c>
      <c r="I169" s="565"/>
    </row>
    <row r="170" spans="2:9" ht="15.75" hidden="1">
      <c r="B170" s="333">
        <f t="shared" si="44"/>
        <v>0</v>
      </c>
      <c r="C170" s="250"/>
      <c r="D170" s="516"/>
      <c r="E170" s="508"/>
      <c r="F170" s="508">
        <f t="shared" si="47"/>
        <v>0</v>
      </c>
      <c r="G170" s="508">
        <f t="shared" si="48"/>
        <v>0</v>
      </c>
      <c r="H170" s="508">
        <f t="shared" si="49"/>
        <v>0</v>
      </c>
      <c r="I170" s="565"/>
    </row>
    <row r="171" spans="2:9" ht="15.75" hidden="1">
      <c r="B171" s="333">
        <f t="shared" si="44"/>
        <v>0</v>
      </c>
      <c r="C171" s="250"/>
      <c r="D171" s="516"/>
      <c r="E171" s="508"/>
      <c r="F171" s="508">
        <f t="shared" si="47"/>
        <v>0</v>
      </c>
      <c r="G171" s="508">
        <f t="shared" si="48"/>
        <v>0</v>
      </c>
      <c r="H171" s="508">
        <f t="shared" si="49"/>
        <v>0</v>
      </c>
      <c r="I171" s="565"/>
    </row>
    <row r="172" spans="2:9" ht="15.75" hidden="1">
      <c r="B172" s="333">
        <f t="shared" si="44"/>
        <v>0</v>
      </c>
      <c r="C172" s="250"/>
      <c r="D172" s="516"/>
      <c r="E172" s="508"/>
      <c r="F172" s="508">
        <f t="shared" si="47"/>
        <v>0</v>
      </c>
      <c r="G172" s="508">
        <f t="shared" si="48"/>
        <v>0</v>
      </c>
      <c r="H172" s="508">
        <f t="shared" si="49"/>
        <v>0</v>
      </c>
      <c r="I172" s="565"/>
    </row>
    <row r="173" spans="2:9" ht="15.75" hidden="1">
      <c r="B173" s="333">
        <f t="shared" si="44"/>
        <v>0</v>
      </c>
      <c r="C173" s="250"/>
      <c r="D173" s="516"/>
      <c r="E173" s="508"/>
      <c r="F173" s="508">
        <f t="shared" si="47"/>
        <v>0</v>
      </c>
      <c r="G173" s="508">
        <f t="shared" si="48"/>
        <v>0</v>
      </c>
      <c r="H173" s="508">
        <f t="shared" si="49"/>
        <v>0</v>
      </c>
      <c r="I173" s="565"/>
    </row>
    <row r="174" spans="2:9" ht="15.75" hidden="1">
      <c r="B174" s="333">
        <f t="shared" si="44"/>
        <v>0</v>
      </c>
      <c r="C174" s="250"/>
      <c r="D174" s="516"/>
      <c r="E174" s="508"/>
      <c r="F174" s="508">
        <f t="shared" si="47"/>
        <v>0</v>
      </c>
      <c r="G174" s="508">
        <f t="shared" si="48"/>
        <v>0</v>
      </c>
      <c r="H174" s="508">
        <f t="shared" si="49"/>
        <v>0</v>
      </c>
      <c r="I174" s="565"/>
    </row>
    <row r="175" spans="2:9" ht="15.75" hidden="1">
      <c r="B175" s="333">
        <f t="shared" si="44"/>
        <v>0</v>
      </c>
      <c r="C175" s="250"/>
      <c r="D175" s="516"/>
      <c r="E175" s="508"/>
      <c r="F175" s="508">
        <f t="shared" si="47"/>
        <v>0</v>
      </c>
      <c r="G175" s="508">
        <f t="shared" si="48"/>
        <v>0</v>
      </c>
      <c r="H175" s="508">
        <f t="shared" si="49"/>
        <v>0</v>
      </c>
      <c r="I175" s="565"/>
    </row>
    <row r="176" spans="2:9" ht="15.75" hidden="1">
      <c r="B176" s="333">
        <f t="shared" si="44"/>
        <v>0</v>
      </c>
      <c r="C176" s="250"/>
      <c r="D176" s="516"/>
      <c r="E176" s="508"/>
      <c r="F176" s="508">
        <f t="shared" si="47"/>
        <v>0</v>
      </c>
      <c r="G176" s="508">
        <f t="shared" si="48"/>
        <v>0</v>
      </c>
      <c r="H176" s="508">
        <f t="shared" si="49"/>
        <v>0</v>
      </c>
      <c r="I176" s="565"/>
    </row>
    <row r="177" spans="2:9" ht="18.6" thickBot="1">
      <c r="B177" s="334"/>
      <c r="C177" s="251"/>
      <c r="D177" s="517"/>
      <c r="E177" s="509"/>
      <c r="F177" s="509"/>
      <c r="G177" s="509"/>
      <c r="H177" s="509"/>
      <c r="I177" s="566"/>
    </row>
    <row r="179" ht="15.75">
      <c r="C179" s="4"/>
    </row>
    <row r="181" ht="15.75">
      <c r="C181" s="570"/>
    </row>
    <row r="182" ht="15.75">
      <c r="C182" s="568"/>
    </row>
    <row r="184" ht="15.75">
      <c r="C184" s="569"/>
    </row>
  </sheetData>
  <sheetProtection algorithmName="SHA-512" hashValue="3ppnshcQ7cMrs5x5SwkHhhOlGAkLQva4b3rEaA7GIEz+QnmQUq1qpNecwuYq1SWqLPNypn+swKdh2EgJsamMTw==" saltValue="D3L03Jr7m2gLP5lwfCyzwQ==" spinCount="100000" sheet="1" objects="1" scenarios="1"/>
  <printOptions/>
  <pageMargins left="0.7" right="0.7" top="0.75" bottom="0.75" header="0.3" footer="0.3"/>
  <pageSetup horizontalDpi="600" verticalDpi="600" orientation="portrait" paperSize="9"/>
  <ignoredErrors>
    <ignoredError sqref="D156:D158"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L75"/>
  <sheetViews>
    <sheetView zoomScale="58" zoomScaleNormal="58" workbookViewId="0" topLeftCell="A1">
      <pane xSplit="3" ySplit="4" topLeftCell="D5" activePane="bottomRight" state="frozen"/>
      <selection pane="topRight" activeCell="D1" sqref="D1"/>
      <selection pane="bottomLeft" activeCell="A5" sqref="A5"/>
      <selection pane="bottomRight" activeCell="D43" sqref="D43"/>
    </sheetView>
  </sheetViews>
  <sheetFormatPr defaultColWidth="10.75390625" defaultRowHeight="15.75" outlineLevelRow="3"/>
  <cols>
    <col min="1" max="1" width="2.25390625" style="61" customWidth="1"/>
    <col min="2" max="2" width="47.25390625" style="59" customWidth="1"/>
    <col min="3" max="3" width="12.75390625" style="60" customWidth="1"/>
    <col min="4" max="64" width="12.75390625" style="61" customWidth="1"/>
    <col min="65" max="16384" width="10.75390625" style="61" customWidth="1"/>
  </cols>
  <sheetData>
    <row r="1" spans="13:64" ht="25.05" customHeight="1" thickBot="1">
      <c r="M1" s="341"/>
      <c r="N1" s="6"/>
      <c r="O1" s="6"/>
      <c r="P1" s="6"/>
      <c r="Q1" s="6"/>
      <c r="R1" s="6"/>
      <c r="S1" s="6"/>
      <c r="Z1" s="6"/>
      <c r="AA1" s="6"/>
      <c r="AB1" s="6"/>
      <c r="AC1" s="6"/>
      <c r="AD1" s="6"/>
      <c r="AE1" s="6"/>
      <c r="AL1" s="6"/>
      <c r="AM1" s="6"/>
      <c r="AN1" s="6"/>
      <c r="AO1" s="6"/>
      <c r="AP1" s="6"/>
      <c r="AQ1" s="6"/>
      <c r="AX1" s="6"/>
      <c r="AY1" s="6"/>
      <c r="AZ1" s="6"/>
      <c r="BA1" s="6"/>
      <c r="BB1" s="6"/>
      <c r="BC1" s="6"/>
      <c r="BJ1" s="6"/>
      <c r="BK1" s="6"/>
      <c r="BL1" s="6"/>
    </row>
    <row r="2" spans="2:64" s="268" customFormat="1" ht="19.95" customHeight="1">
      <c r="B2" s="1583" t="s">
        <v>198</v>
      </c>
      <c r="C2" s="1584"/>
      <c r="D2" s="1593">
        <f>+Assumptions!C3</f>
        <v>2019</v>
      </c>
      <c r="E2" s="1579">
        <f>+D2+1</f>
        <v>2020</v>
      </c>
      <c r="F2" s="1579"/>
      <c r="G2" s="1579"/>
      <c r="H2" s="1579"/>
      <c r="I2" s="1579"/>
      <c r="J2" s="1579"/>
      <c r="K2" s="1579"/>
      <c r="L2" s="1579"/>
      <c r="M2" s="1579"/>
      <c r="N2" s="1579"/>
      <c r="O2" s="1579"/>
      <c r="P2" s="1580"/>
      <c r="Q2" s="1595">
        <f>1+E2</f>
        <v>2021</v>
      </c>
      <c r="R2" s="1579"/>
      <c r="S2" s="1579"/>
      <c r="T2" s="1579"/>
      <c r="U2" s="1579"/>
      <c r="V2" s="1579"/>
      <c r="W2" s="1579"/>
      <c r="X2" s="1579"/>
      <c r="Y2" s="1579"/>
      <c r="Z2" s="1579"/>
      <c r="AA2" s="1579"/>
      <c r="AB2" s="1580"/>
      <c r="AC2" s="1595">
        <f>1+Q2</f>
        <v>2022</v>
      </c>
      <c r="AD2" s="1579"/>
      <c r="AE2" s="1579"/>
      <c r="AF2" s="1579"/>
      <c r="AG2" s="1579"/>
      <c r="AH2" s="1579"/>
      <c r="AI2" s="1579"/>
      <c r="AJ2" s="1579"/>
      <c r="AK2" s="1579"/>
      <c r="AL2" s="1579"/>
      <c r="AM2" s="1579"/>
      <c r="AN2" s="1580"/>
      <c r="AO2" s="1595">
        <f>1+AC2</f>
        <v>2023</v>
      </c>
      <c r="AP2" s="1579"/>
      <c r="AQ2" s="1579"/>
      <c r="AR2" s="1579"/>
      <c r="AS2" s="1579"/>
      <c r="AT2" s="1579"/>
      <c r="AU2" s="1579"/>
      <c r="AV2" s="1579"/>
      <c r="AW2" s="1579"/>
      <c r="AX2" s="1579"/>
      <c r="AY2" s="1579"/>
      <c r="AZ2" s="1580"/>
      <c r="BA2" s="1595">
        <f>1+AO2</f>
        <v>2024</v>
      </c>
      <c r="BB2" s="1579"/>
      <c r="BC2" s="1579"/>
      <c r="BD2" s="1579"/>
      <c r="BE2" s="1579"/>
      <c r="BF2" s="1579"/>
      <c r="BG2" s="1579"/>
      <c r="BH2" s="1579"/>
      <c r="BI2" s="1579"/>
      <c r="BJ2" s="1579"/>
      <c r="BK2" s="1579"/>
      <c r="BL2" s="1580"/>
    </row>
    <row r="3" spans="2:64" s="269" customFormat="1" ht="19.95" customHeight="1" thickBot="1">
      <c r="B3" s="1585"/>
      <c r="C3" s="1586"/>
      <c r="D3" s="1594"/>
      <c r="E3" s="1581"/>
      <c r="F3" s="1581"/>
      <c r="G3" s="1581"/>
      <c r="H3" s="1581"/>
      <c r="I3" s="1581"/>
      <c r="J3" s="1581"/>
      <c r="K3" s="1581"/>
      <c r="L3" s="1581"/>
      <c r="M3" s="1581"/>
      <c r="N3" s="1581"/>
      <c r="O3" s="1581"/>
      <c r="P3" s="1582"/>
      <c r="Q3" s="1596"/>
      <c r="R3" s="1581"/>
      <c r="S3" s="1581"/>
      <c r="T3" s="1581"/>
      <c r="U3" s="1581"/>
      <c r="V3" s="1581"/>
      <c r="W3" s="1581"/>
      <c r="X3" s="1581"/>
      <c r="Y3" s="1581"/>
      <c r="Z3" s="1581"/>
      <c r="AA3" s="1581"/>
      <c r="AB3" s="1582"/>
      <c r="AC3" s="1596"/>
      <c r="AD3" s="1581"/>
      <c r="AE3" s="1581"/>
      <c r="AF3" s="1581"/>
      <c r="AG3" s="1581"/>
      <c r="AH3" s="1581"/>
      <c r="AI3" s="1581"/>
      <c r="AJ3" s="1581"/>
      <c r="AK3" s="1581"/>
      <c r="AL3" s="1581"/>
      <c r="AM3" s="1581"/>
      <c r="AN3" s="1582"/>
      <c r="AO3" s="1596"/>
      <c r="AP3" s="1581"/>
      <c r="AQ3" s="1581"/>
      <c r="AR3" s="1581"/>
      <c r="AS3" s="1581"/>
      <c r="AT3" s="1581"/>
      <c r="AU3" s="1581"/>
      <c r="AV3" s="1581"/>
      <c r="AW3" s="1581"/>
      <c r="AX3" s="1581"/>
      <c r="AY3" s="1581"/>
      <c r="AZ3" s="1582"/>
      <c r="BA3" s="1596"/>
      <c r="BB3" s="1581"/>
      <c r="BC3" s="1581"/>
      <c r="BD3" s="1581"/>
      <c r="BE3" s="1581"/>
      <c r="BF3" s="1581"/>
      <c r="BG3" s="1581"/>
      <c r="BH3" s="1581"/>
      <c r="BI3" s="1581"/>
      <c r="BJ3" s="1581"/>
      <c r="BK3" s="1581"/>
      <c r="BL3" s="1582"/>
    </row>
    <row r="4" spans="2:64" ht="30" customHeight="1" thickBot="1">
      <c r="B4" s="1587"/>
      <c r="C4" s="1588"/>
      <c r="D4" s="1018"/>
      <c r="E4" s="275" t="s">
        <v>187</v>
      </c>
      <c r="F4" s="275" t="s">
        <v>188</v>
      </c>
      <c r="G4" s="275" t="s">
        <v>189</v>
      </c>
      <c r="H4" s="275" t="s">
        <v>190</v>
      </c>
      <c r="I4" s="275" t="s">
        <v>8</v>
      </c>
      <c r="J4" s="275" t="s">
        <v>191</v>
      </c>
      <c r="K4" s="275" t="s">
        <v>192</v>
      </c>
      <c r="L4" s="275" t="s">
        <v>193</v>
      </c>
      <c r="M4" s="275" t="s">
        <v>194</v>
      </c>
      <c r="N4" s="275" t="s">
        <v>195</v>
      </c>
      <c r="O4" s="275" t="s">
        <v>196</v>
      </c>
      <c r="P4" s="276" t="s">
        <v>197</v>
      </c>
      <c r="Q4" s="274" t="s">
        <v>187</v>
      </c>
      <c r="R4" s="275" t="s">
        <v>188</v>
      </c>
      <c r="S4" s="275" t="s">
        <v>189</v>
      </c>
      <c r="T4" s="275" t="s">
        <v>190</v>
      </c>
      <c r="U4" s="275" t="s">
        <v>8</v>
      </c>
      <c r="V4" s="275" t="s">
        <v>191</v>
      </c>
      <c r="W4" s="275" t="s">
        <v>192</v>
      </c>
      <c r="X4" s="275" t="s">
        <v>193</v>
      </c>
      <c r="Y4" s="275" t="s">
        <v>194</v>
      </c>
      <c r="Z4" s="275" t="s">
        <v>195</v>
      </c>
      <c r="AA4" s="275" t="s">
        <v>196</v>
      </c>
      <c r="AB4" s="276" t="s">
        <v>197</v>
      </c>
      <c r="AC4" s="274" t="s">
        <v>187</v>
      </c>
      <c r="AD4" s="275" t="s">
        <v>188</v>
      </c>
      <c r="AE4" s="275" t="s">
        <v>189</v>
      </c>
      <c r="AF4" s="275" t="s">
        <v>190</v>
      </c>
      <c r="AG4" s="275" t="s">
        <v>8</v>
      </c>
      <c r="AH4" s="275" t="s">
        <v>191</v>
      </c>
      <c r="AI4" s="275" t="s">
        <v>192</v>
      </c>
      <c r="AJ4" s="275" t="s">
        <v>193</v>
      </c>
      <c r="AK4" s="275" t="s">
        <v>194</v>
      </c>
      <c r="AL4" s="275" t="s">
        <v>195</v>
      </c>
      <c r="AM4" s="275" t="s">
        <v>196</v>
      </c>
      <c r="AN4" s="276" t="s">
        <v>197</v>
      </c>
      <c r="AO4" s="274" t="s">
        <v>187</v>
      </c>
      <c r="AP4" s="275" t="s">
        <v>188</v>
      </c>
      <c r="AQ4" s="275" t="s">
        <v>189</v>
      </c>
      <c r="AR4" s="275" t="s">
        <v>190</v>
      </c>
      <c r="AS4" s="275" t="s">
        <v>8</v>
      </c>
      <c r="AT4" s="275" t="s">
        <v>191</v>
      </c>
      <c r="AU4" s="275" t="s">
        <v>192</v>
      </c>
      <c r="AV4" s="275" t="s">
        <v>193</v>
      </c>
      <c r="AW4" s="275" t="s">
        <v>194</v>
      </c>
      <c r="AX4" s="275" t="s">
        <v>195</v>
      </c>
      <c r="AY4" s="275" t="s">
        <v>196</v>
      </c>
      <c r="AZ4" s="276" t="s">
        <v>197</v>
      </c>
      <c r="BA4" s="414" t="s">
        <v>187</v>
      </c>
      <c r="BB4" s="275" t="s">
        <v>188</v>
      </c>
      <c r="BC4" s="275" t="s">
        <v>189</v>
      </c>
      <c r="BD4" s="275" t="s">
        <v>190</v>
      </c>
      <c r="BE4" s="275" t="s">
        <v>8</v>
      </c>
      <c r="BF4" s="275" t="s">
        <v>191</v>
      </c>
      <c r="BG4" s="275" t="s">
        <v>192</v>
      </c>
      <c r="BH4" s="275" t="s">
        <v>193</v>
      </c>
      <c r="BI4" s="275" t="s">
        <v>194</v>
      </c>
      <c r="BJ4" s="275" t="s">
        <v>195</v>
      </c>
      <c r="BK4" s="275" t="s">
        <v>196</v>
      </c>
      <c r="BL4" s="415" t="s">
        <v>197</v>
      </c>
    </row>
    <row r="5" spans="2:64" ht="15.75">
      <c r="B5" s="1589" t="s">
        <v>2</v>
      </c>
      <c r="C5" s="1590"/>
      <c r="D5" s="1019">
        <f>+SUM(D6:D11)</f>
        <v>24903</v>
      </c>
      <c r="E5" s="125">
        <f aca="true" t="shared" si="0" ref="E5:BL5">+SUM(E6:E11)</f>
        <v>0</v>
      </c>
      <c r="F5" s="125">
        <f t="shared" si="0"/>
        <v>0</v>
      </c>
      <c r="G5" s="125">
        <f t="shared" si="0"/>
        <v>0</v>
      </c>
      <c r="H5" s="125">
        <f t="shared" si="0"/>
        <v>0</v>
      </c>
      <c r="I5" s="125">
        <f t="shared" si="0"/>
        <v>0</v>
      </c>
      <c r="J5" s="125">
        <f t="shared" si="0"/>
        <v>8370</v>
      </c>
      <c r="K5" s="125">
        <f t="shared" si="0"/>
        <v>2780</v>
      </c>
      <c r="L5" s="125">
        <f t="shared" si="0"/>
        <v>0</v>
      </c>
      <c r="M5" s="125">
        <f t="shared" si="0"/>
        <v>0</v>
      </c>
      <c r="N5" s="125">
        <f t="shared" si="0"/>
        <v>16028.75</v>
      </c>
      <c r="O5" s="125">
        <f t="shared" si="0"/>
        <v>18448.75</v>
      </c>
      <c r="P5" s="126">
        <f t="shared" si="0"/>
        <v>18883.75</v>
      </c>
      <c r="Q5" s="124">
        <f t="shared" si="0"/>
        <v>34644</v>
      </c>
      <c r="R5" s="125">
        <f t="shared" si="0"/>
        <v>38604</v>
      </c>
      <c r="S5" s="125">
        <f t="shared" si="0"/>
        <v>40854</v>
      </c>
      <c r="T5" s="125">
        <f t="shared" si="0"/>
        <v>41714</v>
      </c>
      <c r="U5" s="125">
        <f t="shared" si="0"/>
        <v>42574</v>
      </c>
      <c r="V5" s="125">
        <f t="shared" si="0"/>
        <v>43614</v>
      </c>
      <c r="W5" s="125">
        <f t="shared" si="0"/>
        <v>49004</v>
      </c>
      <c r="X5" s="125">
        <f t="shared" si="0"/>
        <v>49910.625</v>
      </c>
      <c r="Y5" s="125">
        <f t="shared" si="0"/>
        <v>51280.625</v>
      </c>
      <c r="Z5" s="125">
        <f t="shared" si="0"/>
        <v>52350.625</v>
      </c>
      <c r="AA5" s="125">
        <f t="shared" si="0"/>
        <v>53520.625</v>
      </c>
      <c r="AB5" s="126">
        <f t="shared" si="0"/>
        <v>54937.25</v>
      </c>
      <c r="AC5" s="124">
        <f t="shared" si="0"/>
        <v>81957.375</v>
      </c>
      <c r="AD5" s="125">
        <f t="shared" si="0"/>
        <v>83387.375</v>
      </c>
      <c r="AE5" s="125">
        <f t="shared" si="0"/>
        <v>84934</v>
      </c>
      <c r="AF5" s="125">
        <f t="shared" si="0"/>
        <v>86194</v>
      </c>
      <c r="AG5" s="125">
        <f t="shared" si="0"/>
        <v>87904</v>
      </c>
      <c r="AH5" s="125">
        <f t="shared" si="0"/>
        <v>89510.625</v>
      </c>
      <c r="AI5" s="125">
        <f t="shared" si="0"/>
        <v>91280.625</v>
      </c>
      <c r="AJ5" s="125">
        <f t="shared" si="0"/>
        <v>93050.625</v>
      </c>
      <c r="AK5" s="125">
        <f t="shared" si="0"/>
        <v>95167.25</v>
      </c>
      <c r="AL5" s="125">
        <f t="shared" si="0"/>
        <v>96997.25</v>
      </c>
      <c r="AM5" s="125">
        <f t="shared" si="0"/>
        <v>99407.25</v>
      </c>
      <c r="AN5" s="126">
        <f t="shared" si="0"/>
        <v>101397.25</v>
      </c>
      <c r="AO5" s="124">
        <f t="shared" si="0"/>
        <v>139306.125</v>
      </c>
      <c r="AP5" s="125">
        <f t="shared" si="0"/>
        <v>141822.75</v>
      </c>
      <c r="AQ5" s="125">
        <f t="shared" si="0"/>
        <v>144352.75</v>
      </c>
      <c r="AR5" s="125">
        <f t="shared" si="0"/>
        <v>147362.75</v>
      </c>
      <c r="AS5" s="125">
        <f t="shared" si="0"/>
        <v>150166</v>
      </c>
      <c r="AT5" s="125">
        <f t="shared" si="0"/>
        <v>153316</v>
      </c>
      <c r="AU5" s="125">
        <f t="shared" si="0"/>
        <v>168775</v>
      </c>
      <c r="AV5" s="125">
        <f t="shared" si="0"/>
        <v>172231.625</v>
      </c>
      <c r="AW5" s="125">
        <f t="shared" si="0"/>
        <v>176098.25</v>
      </c>
      <c r="AX5" s="125">
        <f t="shared" si="0"/>
        <v>179928.25</v>
      </c>
      <c r="AY5" s="125">
        <f t="shared" si="0"/>
        <v>183984.875</v>
      </c>
      <c r="AZ5" s="126">
        <f t="shared" si="0"/>
        <v>188234.875</v>
      </c>
      <c r="BA5" s="124">
        <f t="shared" si="0"/>
        <v>240891.34999999998</v>
      </c>
      <c r="BB5" s="125">
        <f t="shared" si="0"/>
        <v>245594.59999999998</v>
      </c>
      <c r="BC5" s="125">
        <f t="shared" si="0"/>
        <v>250824.59999999998</v>
      </c>
      <c r="BD5" s="125">
        <f t="shared" si="0"/>
        <v>255881.22499999998</v>
      </c>
      <c r="BE5" s="125">
        <f t="shared" si="0"/>
        <v>262124.47499999998</v>
      </c>
      <c r="BF5" s="125">
        <f t="shared" si="0"/>
        <v>267944.475</v>
      </c>
      <c r="BG5" s="125">
        <f t="shared" si="0"/>
        <v>286688.725</v>
      </c>
      <c r="BH5" s="125">
        <f t="shared" si="0"/>
        <v>293405.35</v>
      </c>
      <c r="BI5" s="125">
        <f t="shared" si="0"/>
        <v>300595.35</v>
      </c>
      <c r="BJ5" s="125">
        <f t="shared" si="0"/>
        <v>308208.6</v>
      </c>
      <c r="BK5" s="125">
        <f t="shared" si="0"/>
        <v>315845.225</v>
      </c>
      <c r="BL5" s="126">
        <f t="shared" si="0"/>
        <v>324485.225</v>
      </c>
    </row>
    <row r="6" spans="2:64" ht="25.05" customHeight="1" outlineLevel="1">
      <c r="B6" s="63" t="str">
        <f>+'Revenue Funnel'!C10</f>
        <v>Total Revenue Booking</v>
      </c>
      <c r="C6" s="290"/>
      <c r="D6" s="1020">
        <v>24903</v>
      </c>
      <c r="E6" s="731">
        <f>+'Revenue Funnel'!D10</f>
        <v>0</v>
      </c>
      <c r="F6" s="122">
        <f>+'Revenue Funnel'!E10</f>
        <v>0</v>
      </c>
      <c r="G6" s="122">
        <f>+'Revenue Funnel'!F10</f>
        <v>0</v>
      </c>
      <c r="H6" s="122">
        <f>+'Revenue Funnel'!G10</f>
        <v>0</v>
      </c>
      <c r="I6" s="122">
        <f>+'Revenue Funnel'!H10</f>
        <v>0</v>
      </c>
      <c r="J6" s="122">
        <f>+'Revenue Funnel'!I10</f>
        <v>0</v>
      </c>
      <c r="K6" s="122">
        <f>+'Revenue Funnel'!J10</f>
        <v>0</v>
      </c>
      <c r="L6" s="122">
        <f>+'Revenue Funnel'!K10</f>
        <v>0</v>
      </c>
      <c r="M6" s="122">
        <f>+'Revenue Funnel'!L10</f>
        <v>0</v>
      </c>
      <c r="N6" s="122">
        <f>+'Revenue Funnel'!M10</f>
        <v>3200</v>
      </c>
      <c r="O6" s="122">
        <f>+'Revenue Funnel'!N10</f>
        <v>3200</v>
      </c>
      <c r="P6" s="123">
        <f>+'Revenue Funnel'!O10</f>
        <v>3200</v>
      </c>
      <c r="Q6" s="121">
        <f>+'Revenue Funnel'!P10</f>
        <v>8000</v>
      </c>
      <c r="R6" s="122">
        <f>+'Revenue Funnel'!Q10</f>
        <v>8000</v>
      </c>
      <c r="S6" s="122">
        <f>+'Revenue Funnel'!R10</f>
        <v>8000</v>
      </c>
      <c r="T6" s="122">
        <f>+'Revenue Funnel'!S10</f>
        <v>8000</v>
      </c>
      <c r="U6" s="122">
        <f>+'Revenue Funnel'!T10</f>
        <v>8000</v>
      </c>
      <c r="V6" s="122">
        <f>+'Revenue Funnel'!U10</f>
        <v>8000</v>
      </c>
      <c r="W6" s="122">
        <f>+'Revenue Funnel'!V10</f>
        <v>12250</v>
      </c>
      <c r="X6" s="122">
        <f>+'Revenue Funnel'!W10</f>
        <v>12250</v>
      </c>
      <c r="Y6" s="122">
        <f>+'Revenue Funnel'!X10</f>
        <v>12250</v>
      </c>
      <c r="Z6" s="122">
        <f>+'Revenue Funnel'!Y10</f>
        <v>12250</v>
      </c>
      <c r="AA6" s="122">
        <f>+'Revenue Funnel'!Z10</f>
        <v>12250</v>
      </c>
      <c r="AB6" s="123">
        <f>+'Revenue Funnel'!AA10</f>
        <v>12250</v>
      </c>
      <c r="AC6" s="121">
        <f>+'Revenue Funnel'!AB10</f>
        <v>25199.999999999996</v>
      </c>
      <c r="AD6" s="122">
        <f>+'Revenue Funnel'!AC10</f>
        <v>25199.999999999996</v>
      </c>
      <c r="AE6" s="122">
        <f>+'Revenue Funnel'!AD10</f>
        <v>25199.999999999996</v>
      </c>
      <c r="AF6" s="122">
        <f>+'Revenue Funnel'!AE10</f>
        <v>25199.999999999996</v>
      </c>
      <c r="AG6" s="122">
        <f>+'Revenue Funnel'!AF10</f>
        <v>25199.999999999996</v>
      </c>
      <c r="AH6" s="122">
        <f>+'Revenue Funnel'!AG10</f>
        <v>25199.999999999996</v>
      </c>
      <c r="AI6" s="122">
        <f>+'Revenue Funnel'!AH10</f>
        <v>25199.999999999996</v>
      </c>
      <c r="AJ6" s="122">
        <f>+'Revenue Funnel'!AI10</f>
        <v>25199.999999999996</v>
      </c>
      <c r="AK6" s="122">
        <f>+'Revenue Funnel'!AJ10</f>
        <v>25199.999999999996</v>
      </c>
      <c r="AL6" s="122">
        <f>+'Revenue Funnel'!AK10</f>
        <v>25199.999999999996</v>
      </c>
      <c r="AM6" s="122">
        <f>+'Revenue Funnel'!AL10</f>
        <v>25199.999999999996</v>
      </c>
      <c r="AN6" s="123">
        <f>+'Revenue Funnel'!AM10</f>
        <v>25199.999999999996</v>
      </c>
      <c r="AO6" s="121">
        <f>+'Revenue Funnel'!AN10</f>
        <v>47075.99999999999</v>
      </c>
      <c r="AP6" s="122">
        <f>+'Revenue Funnel'!AO10</f>
        <v>47075.99999999999</v>
      </c>
      <c r="AQ6" s="122">
        <f>+'Revenue Funnel'!AP10</f>
        <v>47075.99999999999</v>
      </c>
      <c r="AR6" s="122">
        <f>+'Revenue Funnel'!AQ10</f>
        <v>47075.99999999999</v>
      </c>
      <c r="AS6" s="122">
        <f>+'Revenue Funnel'!AR10</f>
        <v>47075.99999999999</v>
      </c>
      <c r="AT6" s="122">
        <f>+'Revenue Funnel'!AS10</f>
        <v>47075.99999999999</v>
      </c>
      <c r="AU6" s="122">
        <f>+'Revenue Funnel'!AT10</f>
        <v>47075.99999999999</v>
      </c>
      <c r="AV6" s="122">
        <f>+'Revenue Funnel'!AU10</f>
        <v>47075.99999999999</v>
      </c>
      <c r="AW6" s="122">
        <f>+'Revenue Funnel'!AV10</f>
        <v>47075.99999999999</v>
      </c>
      <c r="AX6" s="122">
        <f>+'Revenue Funnel'!AW10</f>
        <v>47075.99999999999</v>
      </c>
      <c r="AY6" s="122">
        <f>+'Revenue Funnel'!AX10</f>
        <v>47075.99999999999</v>
      </c>
      <c r="AZ6" s="123">
        <f>+'Revenue Funnel'!AY10</f>
        <v>47075.99999999999</v>
      </c>
      <c r="BA6" s="121">
        <f>+'Revenue Funnel'!AZ10</f>
        <v>80252.09999999998</v>
      </c>
      <c r="BB6" s="122">
        <f>+'Revenue Funnel'!BA10</f>
        <v>80252.09999999998</v>
      </c>
      <c r="BC6" s="122">
        <f>+'Revenue Funnel'!BB10</f>
        <v>80252.09999999998</v>
      </c>
      <c r="BD6" s="122">
        <f>+'Revenue Funnel'!BC10</f>
        <v>80252.09999999998</v>
      </c>
      <c r="BE6" s="122">
        <f>+'Revenue Funnel'!BD10</f>
        <v>80252.09999999998</v>
      </c>
      <c r="BF6" s="122">
        <f>+'Revenue Funnel'!BE10</f>
        <v>80252.09999999998</v>
      </c>
      <c r="BG6" s="122">
        <f>+'Revenue Funnel'!BF10</f>
        <v>80252.09999999998</v>
      </c>
      <c r="BH6" s="122">
        <f>+'Revenue Funnel'!BG10</f>
        <v>80252.09999999998</v>
      </c>
      <c r="BI6" s="122">
        <f>+'Revenue Funnel'!BH10</f>
        <v>80252.09999999998</v>
      </c>
      <c r="BJ6" s="122">
        <f>+'Revenue Funnel'!BI10</f>
        <v>80252.09999999998</v>
      </c>
      <c r="BK6" s="122">
        <f>+'Revenue Funnel'!BJ10</f>
        <v>80252.09999999998</v>
      </c>
      <c r="BL6" s="123">
        <f>+'Revenue Funnel'!BK10</f>
        <v>80252.09999999998</v>
      </c>
    </row>
    <row r="7" spans="2:64" ht="25.05" customHeight="1" outlineLevel="1">
      <c r="B7" s="63" t="str">
        <f>+'Revenue Funnel'!C12</f>
        <v>Total Revenue from Digital Fairs</v>
      </c>
      <c r="C7" s="290"/>
      <c r="D7" s="1020">
        <v>0</v>
      </c>
      <c r="E7" s="122">
        <f>+'Revenue Funnel'!D12</f>
        <v>0</v>
      </c>
      <c r="F7" s="122">
        <f>+'Revenue Funnel'!E12</f>
        <v>0</v>
      </c>
      <c r="G7" s="122">
        <f>+'Revenue Funnel'!F12</f>
        <v>0</v>
      </c>
      <c r="H7" s="122">
        <f>+'Revenue Funnel'!G12</f>
        <v>0</v>
      </c>
      <c r="I7" s="122">
        <f>+'Revenue Funnel'!H12</f>
        <v>0</v>
      </c>
      <c r="J7" s="122">
        <f>+'Revenue Funnel'!I12</f>
        <v>8370</v>
      </c>
      <c r="K7" s="122">
        <f>+'Revenue Funnel'!J12</f>
        <v>2780</v>
      </c>
      <c r="L7" s="122">
        <f>+'Revenue Funnel'!K12</f>
        <v>0</v>
      </c>
      <c r="M7" s="122">
        <f>+'Revenue Funnel'!L12</f>
        <v>0</v>
      </c>
      <c r="N7" s="122">
        <f>+'Revenue Funnel'!M12</f>
        <v>11000</v>
      </c>
      <c r="O7" s="122">
        <f>+'Revenue Funnel'!N12</f>
        <v>11000</v>
      </c>
      <c r="P7" s="123">
        <f>+'Revenue Funnel'!O12</f>
        <v>11000</v>
      </c>
      <c r="Q7" s="121">
        <f>+'Revenue Funnel'!P12</f>
        <v>11825</v>
      </c>
      <c r="R7" s="122">
        <f>+'Revenue Funnel'!Q12</f>
        <v>11825</v>
      </c>
      <c r="S7" s="122">
        <f>+'Revenue Funnel'!R12</f>
        <v>11825</v>
      </c>
      <c r="T7" s="122">
        <f>+'Revenue Funnel'!S12</f>
        <v>11825</v>
      </c>
      <c r="U7" s="122">
        <f>+'Revenue Funnel'!T12</f>
        <v>11825</v>
      </c>
      <c r="V7" s="122">
        <f>+'Revenue Funnel'!U12</f>
        <v>11825</v>
      </c>
      <c r="W7" s="122">
        <f>+'Revenue Funnel'!V12</f>
        <v>11825</v>
      </c>
      <c r="X7" s="122">
        <f>+'Revenue Funnel'!W12</f>
        <v>11825</v>
      </c>
      <c r="Y7" s="122">
        <f>+'Revenue Funnel'!X12</f>
        <v>11825</v>
      </c>
      <c r="Z7" s="122">
        <f>+'Revenue Funnel'!Y12</f>
        <v>11825</v>
      </c>
      <c r="AA7" s="122">
        <f>+'Revenue Funnel'!Z12</f>
        <v>11825</v>
      </c>
      <c r="AB7" s="123">
        <f>+'Revenue Funnel'!AA12</f>
        <v>11825</v>
      </c>
      <c r="AC7" s="121">
        <f>+'Revenue Funnel'!AB12</f>
        <v>23814</v>
      </c>
      <c r="AD7" s="122">
        <f>+'Revenue Funnel'!AC12</f>
        <v>23814</v>
      </c>
      <c r="AE7" s="122">
        <f>+'Revenue Funnel'!AD12</f>
        <v>23814</v>
      </c>
      <c r="AF7" s="122">
        <f>+'Revenue Funnel'!AE12</f>
        <v>23814</v>
      </c>
      <c r="AG7" s="122">
        <f>+'Revenue Funnel'!AF12</f>
        <v>23814</v>
      </c>
      <c r="AH7" s="122">
        <f>+'Revenue Funnel'!AG12</f>
        <v>23814</v>
      </c>
      <c r="AI7" s="122">
        <f>+'Revenue Funnel'!AH12</f>
        <v>23814</v>
      </c>
      <c r="AJ7" s="122">
        <f>+'Revenue Funnel'!AI12</f>
        <v>23814</v>
      </c>
      <c r="AK7" s="122">
        <f>+'Revenue Funnel'!AJ12</f>
        <v>23814</v>
      </c>
      <c r="AL7" s="122">
        <f>+'Revenue Funnel'!AK12</f>
        <v>23814</v>
      </c>
      <c r="AM7" s="122">
        <f>+'Revenue Funnel'!AL12</f>
        <v>23814</v>
      </c>
      <c r="AN7" s="123">
        <f>+'Revenue Funnel'!AM12</f>
        <v>23814</v>
      </c>
      <c r="AO7" s="121">
        <f>+'Revenue Funnel'!AN12</f>
        <v>35997</v>
      </c>
      <c r="AP7" s="122">
        <f>+'Revenue Funnel'!AO12</f>
        <v>35997</v>
      </c>
      <c r="AQ7" s="122">
        <f>+'Revenue Funnel'!AP12</f>
        <v>35997</v>
      </c>
      <c r="AR7" s="122">
        <f>+'Revenue Funnel'!AQ12</f>
        <v>35997</v>
      </c>
      <c r="AS7" s="122">
        <f>+'Revenue Funnel'!AR12</f>
        <v>35997</v>
      </c>
      <c r="AT7" s="122">
        <f>+'Revenue Funnel'!AS12</f>
        <v>35997</v>
      </c>
      <c r="AU7" s="122">
        <f>+'Revenue Funnel'!AT12</f>
        <v>47996</v>
      </c>
      <c r="AV7" s="122">
        <f>+'Revenue Funnel'!AU12</f>
        <v>47996</v>
      </c>
      <c r="AW7" s="122">
        <f>+'Revenue Funnel'!AV12</f>
        <v>47996</v>
      </c>
      <c r="AX7" s="122">
        <f>+'Revenue Funnel'!AW12</f>
        <v>47996</v>
      </c>
      <c r="AY7" s="122">
        <f>+'Revenue Funnel'!AX12</f>
        <v>47996</v>
      </c>
      <c r="AZ7" s="123">
        <f>+'Revenue Funnel'!AY12</f>
        <v>47996</v>
      </c>
      <c r="BA7" s="121">
        <f>+'Revenue Funnel'!AZ12</f>
        <v>60505</v>
      </c>
      <c r="BB7" s="122">
        <f>+'Revenue Funnel'!BA12</f>
        <v>60505</v>
      </c>
      <c r="BC7" s="122">
        <f>+'Revenue Funnel'!BB12</f>
        <v>60505</v>
      </c>
      <c r="BD7" s="122">
        <f>+'Revenue Funnel'!BC12</f>
        <v>60505</v>
      </c>
      <c r="BE7" s="122">
        <f>+'Revenue Funnel'!BD12</f>
        <v>60505</v>
      </c>
      <c r="BF7" s="122">
        <f>+'Revenue Funnel'!BE12</f>
        <v>60505</v>
      </c>
      <c r="BG7" s="122">
        <f>+'Revenue Funnel'!BF12</f>
        <v>72606</v>
      </c>
      <c r="BH7" s="122">
        <f>+'Revenue Funnel'!BG12</f>
        <v>72606</v>
      </c>
      <c r="BI7" s="122">
        <f>+'Revenue Funnel'!BH12</f>
        <v>72606</v>
      </c>
      <c r="BJ7" s="122">
        <f>+'Revenue Funnel'!BI12</f>
        <v>72606</v>
      </c>
      <c r="BK7" s="122">
        <f>+'Revenue Funnel'!BJ12</f>
        <v>72606</v>
      </c>
      <c r="BL7" s="123">
        <f>+'Revenue Funnel'!BK12</f>
        <v>72606</v>
      </c>
    </row>
    <row r="8" spans="2:64" ht="25.05" customHeight="1" outlineLevel="1">
      <c r="B8" s="63" t="str">
        <f>+'Revenue Funnel'!C31</f>
        <v>Total Revenue SHOP</v>
      </c>
      <c r="C8" s="960"/>
      <c r="D8" s="1020">
        <v>0</v>
      </c>
      <c r="E8" s="122">
        <f>+'Revenue Funnel'!D31</f>
        <v>0</v>
      </c>
      <c r="F8" s="122">
        <f>+'Revenue Funnel'!E31</f>
        <v>0</v>
      </c>
      <c r="G8" s="122">
        <f>+'Revenue Funnel'!F31</f>
        <v>0</v>
      </c>
      <c r="H8" s="122">
        <f>+'Revenue Funnel'!G31</f>
        <v>0</v>
      </c>
      <c r="I8" s="122">
        <f>+'Revenue Funnel'!H31</f>
        <v>0</v>
      </c>
      <c r="J8" s="122">
        <f>+'Revenue Funnel'!I31</f>
        <v>0</v>
      </c>
      <c r="K8" s="122">
        <f>+'Revenue Funnel'!J31</f>
        <v>0</v>
      </c>
      <c r="L8" s="122">
        <f>+'Revenue Funnel'!K31</f>
        <v>0</v>
      </c>
      <c r="M8" s="122">
        <f>+'Revenue Funnel'!L31</f>
        <v>0</v>
      </c>
      <c r="N8" s="122">
        <f>+'Revenue Funnel'!M31</f>
        <v>1828.75</v>
      </c>
      <c r="O8" s="122">
        <f>+'Revenue Funnel'!N31</f>
        <v>4248.75</v>
      </c>
      <c r="P8" s="123">
        <f>+'Revenue Funnel'!O31</f>
        <v>4683.75</v>
      </c>
      <c r="Q8" s="121">
        <f>+'Revenue Funnel'!P31</f>
        <v>14819</v>
      </c>
      <c r="R8" s="122">
        <f>+'Revenue Funnel'!Q31</f>
        <v>18779</v>
      </c>
      <c r="S8" s="122">
        <f>+'Revenue Funnel'!R31</f>
        <v>21029</v>
      </c>
      <c r="T8" s="122">
        <f>+'Revenue Funnel'!S31</f>
        <v>21889</v>
      </c>
      <c r="U8" s="122">
        <f>+'Revenue Funnel'!T31</f>
        <v>22749</v>
      </c>
      <c r="V8" s="122">
        <f>+'Revenue Funnel'!U31</f>
        <v>23789</v>
      </c>
      <c r="W8" s="122">
        <f>+'Revenue Funnel'!V31</f>
        <v>24929</v>
      </c>
      <c r="X8" s="122">
        <f>+'Revenue Funnel'!W31</f>
        <v>25835.625</v>
      </c>
      <c r="Y8" s="122">
        <f>+'Revenue Funnel'!X31</f>
        <v>27205.625</v>
      </c>
      <c r="Z8" s="122">
        <f>+'Revenue Funnel'!Y31</f>
        <v>28275.625</v>
      </c>
      <c r="AA8" s="122">
        <f>+'Revenue Funnel'!Z31</f>
        <v>29445.625</v>
      </c>
      <c r="AB8" s="123">
        <f>+'Revenue Funnel'!AA31</f>
        <v>30862.25</v>
      </c>
      <c r="AC8" s="122">
        <f>+'Revenue Funnel'!AB31</f>
        <v>32943.375</v>
      </c>
      <c r="AD8" s="122">
        <f>+'Revenue Funnel'!AC31</f>
        <v>34373.375</v>
      </c>
      <c r="AE8" s="122">
        <f>+'Revenue Funnel'!AD31</f>
        <v>35920</v>
      </c>
      <c r="AF8" s="122">
        <f>+'Revenue Funnel'!AE31</f>
        <v>37180</v>
      </c>
      <c r="AG8" s="122">
        <f>+'Revenue Funnel'!AF31</f>
        <v>38890</v>
      </c>
      <c r="AH8" s="122">
        <f>+'Revenue Funnel'!AG31</f>
        <v>40496.625</v>
      </c>
      <c r="AI8" s="122">
        <f>+'Revenue Funnel'!AH31</f>
        <v>42266.625</v>
      </c>
      <c r="AJ8" s="122">
        <f>+'Revenue Funnel'!AI31</f>
        <v>44036.625</v>
      </c>
      <c r="AK8" s="122">
        <f>+'Revenue Funnel'!AJ31</f>
        <v>46153.25</v>
      </c>
      <c r="AL8" s="122">
        <f>+'Revenue Funnel'!AK31</f>
        <v>47983.25</v>
      </c>
      <c r="AM8" s="122">
        <f>+'Revenue Funnel'!AL31</f>
        <v>50393.25</v>
      </c>
      <c r="AN8" s="123">
        <f>+'Revenue Funnel'!AM31</f>
        <v>52383.25</v>
      </c>
      <c r="AO8" s="121">
        <f>+'Revenue Funnel'!AN31</f>
        <v>56233.125</v>
      </c>
      <c r="AP8" s="122">
        <f>+'Revenue Funnel'!AO31</f>
        <v>58749.75</v>
      </c>
      <c r="AQ8" s="122">
        <f>+'Revenue Funnel'!AP31</f>
        <v>61279.75</v>
      </c>
      <c r="AR8" s="122">
        <f>+'Revenue Funnel'!AQ31</f>
        <v>64289.75</v>
      </c>
      <c r="AS8" s="122">
        <f>+'Revenue Funnel'!AR31</f>
        <v>67093</v>
      </c>
      <c r="AT8" s="122">
        <f>+'Revenue Funnel'!AS31</f>
        <v>70243</v>
      </c>
      <c r="AU8" s="122">
        <f>+'Revenue Funnel'!AT31</f>
        <v>73703</v>
      </c>
      <c r="AV8" s="122">
        <f>+'Revenue Funnel'!AU31</f>
        <v>77159.625</v>
      </c>
      <c r="AW8" s="122">
        <f>+'Revenue Funnel'!AV31</f>
        <v>81026.25</v>
      </c>
      <c r="AX8" s="122">
        <f>+'Revenue Funnel'!AW31</f>
        <v>84856.25</v>
      </c>
      <c r="AY8" s="122">
        <f>+'Revenue Funnel'!AX31</f>
        <v>88912.875</v>
      </c>
      <c r="AZ8" s="123">
        <f>+'Revenue Funnel'!AY31</f>
        <v>93162.875</v>
      </c>
      <c r="BA8" s="121">
        <f>+'Revenue Funnel'!AZ31</f>
        <v>100134.25</v>
      </c>
      <c r="BB8" s="122">
        <f>+'Revenue Funnel'!BA31</f>
        <v>104837.5</v>
      </c>
      <c r="BC8" s="122">
        <f>+'Revenue Funnel'!BB31</f>
        <v>110067.5</v>
      </c>
      <c r="BD8" s="122">
        <f>+'Revenue Funnel'!BC31</f>
        <v>115124.125</v>
      </c>
      <c r="BE8" s="122">
        <f>+'Revenue Funnel'!BD31</f>
        <v>121367.375</v>
      </c>
      <c r="BF8" s="122">
        <f>+'Revenue Funnel'!BE31</f>
        <v>127187.375</v>
      </c>
      <c r="BG8" s="122">
        <f>+'Revenue Funnel'!BF31</f>
        <v>133830.625</v>
      </c>
      <c r="BH8" s="122">
        <f>+'Revenue Funnel'!BG31</f>
        <v>140547.25</v>
      </c>
      <c r="BI8" s="122">
        <f>+'Revenue Funnel'!BH31</f>
        <v>147737.25</v>
      </c>
      <c r="BJ8" s="122">
        <f>+'Revenue Funnel'!BI31</f>
        <v>155350.5</v>
      </c>
      <c r="BK8" s="122">
        <f>+'Revenue Funnel'!BJ31</f>
        <v>162987.125</v>
      </c>
      <c r="BL8" s="123">
        <f>+'Revenue Funnel'!BK31</f>
        <v>171627.125</v>
      </c>
    </row>
    <row r="9" spans="2:64" ht="25.05" customHeight="1" hidden="1" outlineLevel="1">
      <c r="B9" s="63"/>
      <c r="C9" s="290"/>
      <c r="D9" s="1020"/>
      <c r="E9" s="122"/>
      <c r="F9" s="122"/>
      <c r="G9" s="122"/>
      <c r="H9" s="122"/>
      <c r="I9" s="122"/>
      <c r="J9" s="122"/>
      <c r="K9" s="122"/>
      <c r="L9" s="122"/>
      <c r="M9" s="122"/>
      <c r="N9" s="122"/>
      <c r="O9" s="122"/>
      <c r="P9" s="123"/>
      <c r="Q9" s="121"/>
      <c r="R9" s="122"/>
      <c r="S9" s="122"/>
      <c r="T9" s="122"/>
      <c r="U9" s="122"/>
      <c r="V9" s="122"/>
      <c r="W9" s="122"/>
      <c r="X9" s="122"/>
      <c r="Y9" s="122"/>
      <c r="Z9" s="122"/>
      <c r="AA9" s="122"/>
      <c r="AB9" s="123"/>
      <c r="AC9" s="122"/>
      <c r="AD9" s="122"/>
      <c r="AE9" s="122"/>
      <c r="AF9" s="122"/>
      <c r="AG9" s="122"/>
      <c r="AH9" s="122"/>
      <c r="AI9" s="122"/>
      <c r="AJ9" s="122"/>
      <c r="AK9" s="122"/>
      <c r="AL9" s="122"/>
      <c r="AM9" s="122"/>
      <c r="AN9" s="123"/>
      <c r="AO9" s="121"/>
      <c r="AP9" s="122"/>
      <c r="AQ9" s="122"/>
      <c r="AR9" s="122"/>
      <c r="AS9" s="122"/>
      <c r="AT9" s="122"/>
      <c r="AU9" s="122"/>
      <c r="AV9" s="122"/>
      <c r="AW9" s="122"/>
      <c r="AX9" s="122"/>
      <c r="AY9" s="122"/>
      <c r="AZ9" s="123"/>
      <c r="BA9" s="121"/>
      <c r="BB9" s="122"/>
      <c r="BC9" s="122"/>
      <c r="BD9" s="122"/>
      <c r="BE9" s="122"/>
      <c r="BF9" s="122"/>
      <c r="BG9" s="122"/>
      <c r="BH9" s="122"/>
      <c r="BI9" s="122"/>
      <c r="BJ9" s="122"/>
      <c r="BK9" s="122"/>
      <c r="BL9" s="123"/>
    </row>
    <row r="10" spans="2:64" ht="25.05" customHeight="1" hidden="1" outlineLevel="1">
      <c r="B10" s="63"/>
      <c r="C10" s="290"/>
      <c r="D10" s="1020"/>
      <c r="E10" s="122"/>
      <c r="F10" s="122"/>
      <c r="G10" s="122"/>
      <c r="H10" s="122"/>
      <c r="I10" s="122"/>
      <c r="J10" s="122"/>
      <c r="K10" s="122"/>
      <c r="L10" s="122"/>
      <c r="M10" s="122"/>
      <c r="N10" s="122"/>
      <c r="O10" s="122"/>
      <c r="P10" s="123"/>
      <c r="Q10" s="121"/>
      <c r="R10" s="122"/>
      <c r="S10" s="122"/>
      <c r="T10" s="122"/>
      <c r="U10" s="122"/>
      <c r="V10" s="122"/>
      <c r="W10" s="122"/>
      <c r="X10" s="122"/>
      <c r="Y10" s="122"/>
      <c r="Z10" s="122"/>
      <c r="AA10" s="122"/>
      <c r="AB10" s="123"/>
      <c r="AC10" s="122"/>
      <c r="AD10" s="122"/>
      <c r="AE10" s="122"/>
      <c r="AF10" s="122"/>
      <c r="AG10" s="122"/>
      <c r="AH10" s="122"/>
      <c r="AI10" s="122"/>
      <c r="AJ10" s="122"/>
      <c r="AK10" s="122"/>
      <c r="AL10" s="122"/>
      <c r="AM10" s="122"/>
      <c r="AN10" s="123"/>
      <c r="AO10" s="121"/>
      <c r="AP10" s="122"/>
      <c r="AQ10" s="122"/>
      <c r="AR10" s="122"/>
      <c r="AS10" s="122"/>
      <c r="AT10" s="122"/>
      <c r="AU10" s="122"/>
      <c r="AV10" s="122"/>
      <c r="AW10" s="122"/>
      <c r="AX10" s="122"/>
      <c r="AY10" s="122"/>
      <c r="AZ10" s="123"/>
      <c r="BA10" s="121"/>
      <c r="BB10" s="122"/>
      <c r="BC10" s="122"/>
      <c r="BD10" s="122"/>
      <c r="BE10" s="122"/>
      <c r="BF10" s="122"/>
      <c r="BG10" s="122"/>
      <c r="BH10" s="122"/>
      <c r="BI10" s="122"/>
      <c r="BJ10" s="122"/>
      <c r="BK10" s="122"/>
      <c r="BL10" s="123"/>
    </row>
    <row r="11" spans="2:64" ht="25.05" customHeight="1" hidden="1" outlineLevel="1">
      <c r="B11" s="63"/>
      <c r="C11" s="290"/>
      <c r="D11" s="1020"/>
      <c r="E11" s="122"/>
      <c r="F11" s="122"/>
      <c r="G11" s="122"/>
      <c r="H11" s="122"/>
      <c r="I11" s="122"/>
      <c r="J11" s="122"/>
      <c r="K11" s="122"/>
      <c r="L11" s="122"/>
      <c r="M11" s="122"/>
      <c r="N11" s="122"/>
      <c r="O11" s="122"/>
      <c r="P11" s="123"/>
      <c r="Q11" s="121"/>
      <c r="R11" s="122"/>
      <c r="S11" s="122"/>
      <c r="T11" s="122"/>
      <c r="U11" s="122"/>
      <c r="V11" s="122"/>
      <c r="W11" s="122"/>
      <c r="X11" s="122"/>
      <c r="Y11" s="122"/>
      <c r="Z11" s="122"/>
      <c r="AA11" s="122"/>
      <c r="AB11" s="123"/>
      <c r="AC11" s="122"/>
      <c r="AD11" s="122"/>
      <c r="AE11" s="122"/>
      <c r="AF11" s="122"/>
      <c r="AG11" s="122"/>
      <c r="AH11" s="122"/>
      <c r="AI11" s="122"/>
      <c r="AJ11" s="122"/>
      <c r="AK11" s="122"/>
      <c r="AL11" s="122"/>
      <c r="AM11" s="122"/>
      <c r="AN11" s="123"/>
      <c r="AO11" s="121"/>
      <c r="AP11" s="122"/>
      <c r="AQ11" s="122"/>
      <c r="AR11" s="122"/>
      <c r="AS11" s="122"/>
      <c r="AT11" s="122"/>
      <c r="AU11" s="122"/>
      <c r="AV11" s="122"/>
      <c r="AW11" s="122"/>
      <c r="AX11" s="122"/>
      <c r="AY11" s="122"/>
      <c r="AZ11" s="123"/>
      <c r="BA11" s="121"/>
      <c r="BB11" s="122"/>
      <c r="BC11" s="122"/>
      <c r="BD11" s="122"/>
      <c r="BE11" s="122"/>
      <c r="BF11" s="122"/>
      <c r="BG11" s="122"/>
      <c r="BH11" s="122"/>
      <c r="BI11" s="122"/>
      <c r="BJ11" s="122"/>
      <c r="BK11" s="122"/>
      <c r="BL11" s="123"/>
    </row>
    <row r="12" spans="2:64" s="341" customFormat="1" ht="15.75">
      <c r="B12" s="1563" t="s">
        <v>171</v>
      </c>
      <c r="C12" s="1564"/>
      <c r="D12" s="1019">
        <f>+SUM(D13:D18)</f>
        <v>10471</v>
      </c>
      <c r="E12" s="125">
        <f aca="true" t="shared" si="1" ref="E12:BL12">+SUM(E13:E18)</f>
        <v>0</v>
      </c>
      <c r="F12" s="125">
        <f t="shared" si="1"/>
        <v>0</v>
      </c>
      <c r="G12" s="125">
        <f t="shared" si="1"/>
        <v>0</v>
      </c>
      <c r="H12" s="125">
        <f t="shared" si="1"/>
        <v>0</v>
      </c>
      <c r="I12" s="125">
        <f t="shared" si="1"/>
        <v>0</v>
      </c>
      <c r="J12" s="125">
        <f t="shared" si="1"/>
        <v>6400.18</v>
      </c>
      <c r="K12" s="125">
        <f t="shared" si="1"/>
        <v>2499.92</v>
      </c>
      <c r="L12" s="125">
        <f t="shared" si="1"/>
        <v>0</v>
      </c>
      <c r="M12" s="125">
        <f t="shared" si="1"/>
        <v>0</v>
      </c>
      <c r="N12" s="125">
        <f t="shared" si="1"/>
        <v>10594.4025</v>
      </c>
      <c r="O12" s="125">
        <f t="shared" si="1"/>
        <v>10628.282500000001</v>
      </c>
      <c r="P12" s="126">
        <f t="shared" si="1"/>
        <v>10634.3725</v>
      </c>
      <c r="Q12" s="124">
        <f t="shared" si="1"/>
        <v>14905.016</v>
      </c>
      <c r="R12" s="125">
        <f t="shared" si="1"/>
        <v>14960.456</v>
      </c>
      <c r="S12" s="125">
        <f t="shared" si="1"/>
        <v>14991.956</v>
      </c>
      <c r="T12" s="125">
        <f t="shared" si="1"/>
        <v>15003.996</v>
      </c>
      <c r="U12" s="125">
        <f t="shared" si="1"/>
        <v>15016.036</v>
      </c>
      <c r="V12" s="125">
        <f t="shared" si="1"/>
        <v>15030.596</v>
      </c>
      <c r="W12" s="125">
        <f t="shared" si="1"/>
        <v>18506.056</v>
      </c>
      <c r="X12" s="125">
        <f t="shared" si="1"/>
        <v>18523.74875</v>
      </c>
      <c r="Y12" s="125">
        <f t="shared" si="1"/>
        <v>18542.92875</v>
      </c>
      <c r="Z12" s="125">
        <f t="shared" si="1"/>
        <v>18557.908750000002</v>
      </c>
      <c r="AA12" s="125">
        <f t="shared" si="1"/>
        <v>18574.28875</v>
      </c>
      <c r="AB12" s="126">
        <f t="shared" si="1"/>
        <v>18599.1215</v>
      </c>
      <c r="AC12" s="124">
        <f t="shared" si="1"/>
        <v>35692.403249999996</v>
      </c>
      <c r="AD12" s="125">
        <f t="shared" si="1"/>
        <v>35712.42324999999</v>
      </c>
      <c r="AE12" s="125">
        <f t="shared" si="1"/>
        <v>35739.076</v>
      </c>
      <c r="AF12" s="125">
        <f t="shared" si="1"/>
        <v>35756.716</v>
      </c>
      <c r="AG12" s="125">
        <f t="shared" si="1"/>
        <v>35780.655999999995</v>
      </c>
      <c r="AH12" s="125">
        <f t="shared" si="1"/>
        <v>35808.14874999999</v>
      </c>
      <c r="AI12" s="125">
        <f t="shared" si="1"/>
        <v>35832.92874999999</v>
      </c>
      <c r="AJ12" s="125">
        <f t="shared" si="1"/>
        <v>35857.70875</v>
      </c>
      <c r="AK12" s="125">
        <f t="shared" si="1"/>
        <v>35892.341499999995</v>
      </c>
      <c r="AL12" s="125">
        <f t="shared" si="1"/>
        <v>35917.9615</v>
      </c>
      <c r="AM12" s="125">
        <f t="shared" si="1"/>
        <v>35951.701499999996</v>
      </c>
      <c r="AN12" s="126">
        <f t="shared" si="1"/>
        <v>35979.561499999996</v>
      </c>
      <c r="AO12" s="124">
        <f t="shared" si="1"/>
        <v>62245.885749999994</v>
      </c>
      <c r="AP12" s="125">
        <f t="shared" si="1"/>
        <v>62286.11849999999</v>
      </c>
      <c r="AQ12" s="125">
        <f t="shared" si="1"/>
        <v>62321.53849999999</v>
      </c>
      <c r="AR12" s="125">
        <f t="shared" si="1"/>
        <v>62363.678499999995</v>
      </c>
      <c r="AS12" s="125">
        <f t="shared" si="1"/>
        <v>62412.92399999999</v>
      </c>
      <c r="AT12" s="125">
        <f t="shared" si="1"/>
        <v>62457.02399999999</v>
      </c>
      <c r="AU12" s="125">
        <f t="shared" si="1"/>
        <v>69773.44999999998</v>
      </c>
      <c r="AV12" s="125">
        <f t="shared" si="1"/>
        <v>69826.84274999998</v>
      </c>
      <c r="AW12" s="125">
        <f t="shared" si="1"/>
        <v>69885.9755</v>
      </c>
      <c r="AX12" s="125">
        <f t="shared" si="1"/>
        <v>69939.5955</v>
      </c>
      <c r="AY12" s="125">
        <f t="shared" si="1"/>
        <v>70001.38824999999</v>
      </c>
      <c r="AZ12" s="126">
        <f t="shared" si="1"/>
        <v>70060.88824999999</v>
      </c>
      <c r="BA12" s="124">
        <f t="shared" si="1"/>
        <v>105916.76389999998</v>
      </c>
      <c r="BB12" s="125">
        <f t="shared" si="1"/>
        <v>105992.60939999999</v>
      </c>
      <c r="BC12" s="125">
        <f t="shared" si="1"/>
        <v>106065.82939999999</v>
      </c>
      <c r="BD12" s="125">
        <f t="shared" si="1"/>
        <v>106141.62214999998</v>
      </c>
      <c r="BE12" s="125">
        <f t="shared" si="1"/>
        <v>106239.02764999997</v>
      </c>
      <c r="BF12" s="125">
        <f t="shared" si="1"/>
        <v>106320.50764999999</v>
      </c>
      <c r="BG12" s="125">
        <f t="shared" si="1"/>
        <v>113692.92714999997</v>
      </c>
      <c r="BH12" s="125">
        <f t="shared" si="1"/>
        <v>113791.95989999999</v>
      </c>
      <c r="BI12" s="125">
        <f t="shared" si="1"/>
        <v>113892.61989999998</v>
      </c>
      <c r="BJ12" s="125">
        <f t="shared" si="1"/>
        <v>114009.20539999998</v>
      </c>
      <c r="BK12" s="125">
        <f t="shared" si="1"/>
        <v>114121.11814999998</v>
      </c>
      <c r="BL12" s="126">
        <f t="shared" si="1"/>
        <v>114242.07814999999</v>
      </c>
    </row>
    <row r="13" spans="2:64" ht="25.05" customHeight="1" outlineLevel="1">
      <c r="B13" s="63" t="str">
        <f>+Assumptions!B74</f>
        <v>Commission for Exhibition Space Provider</v>
      </c>
      <c r="C13" s="290"/>
      <c r="D13" s="1020">
        <v>10471</v>
      </c>
      <c r="E13" s="122">
        <f>(1-Assumptions!$D$19)*'Revenue Funnel'!D6</f>
        <v>0</v>
      </c>
      <c r="F13" s="122">
        <f>(1-Assumptions!$D$19)*'Revenue Funnel'!E6</f>
        <v>0</v>
      </c>
      <c r="G13" s="122">
        <f>(1-Assumptions!$D$19)*'Revenue Funnel'!F6</f>
        <v>0</v>
      </c>
      <c r="H13" s="122">
        <f>(1-Assumptions!$D$19)*'Revenue Funnel'!G6</f>
        <v>0</v>
      </c>
      <c r="I13" s="122">
        <f>(1-Assumptions!$D$19)*'Revenue Funnel'!H6</f>
        <v>0</v>
      </c>
      <c r="J13" s="122">
        <f>(1-Assumptions!$D$19)*'Revenue Funnel'!I6</f>
        <v>0</v>
      </c>
      <c r="K13" s="122">
        <f>(1-Assumptions!$D$19)*'Revenue Funnel'!J6</f>
        <v>0</v>
      </c>
      <c r="L13" s="122">
        <f>(1-Assumptions!$D$19)*'Revenue Funnel'!K6</f>
        <v>0</v>
      </c>
      <c r="M13" s="122">
        <f>(1-Assumptions!$D$19)*'Revenue Funnel'!L6</f>
        <v>0</v>
      </c>
      <c r="N13" s="122">
        <f>(1-Assumptions!$D$19)*'Revenue Funnel'!M6</f>
        <v>2720</v>
      </c>
      <c r="O13" s="122">
        <f>(1-Assumptions!$D$19)*'Revenue Funnel'!N6</f>
        <v>2720</v>
      </c>
      <c r="P13" s="123">
        <f>(1-Assumptions!$D$19)*'Revenue Funnel'!O6</f>
        <v>2720</v>
      </c>
      <c r="Q13" s="121">
        <f>(1-Assumptions!$D$19)*'Revenue Funnel'!P6</f>
        <v>6800</v>
      </c>
      <c r="R13" s="122">
        <f>(1-Assumptions!$D$19)*'Revenue Funnel'!Q6</f>
        <v>6800</v>
      </c>
      <c r="S13" s="122">
        <f>(1-Assumptions!$D$19)*'Revenue Funnel'!R6</f>
        <v>6800</v>
      </c>
      <c r="T13" s="122">
        <f>(1-Assumptions!$D$19)*'Revenue Funnel'!S6</f>
        <v>6800</v>
      </c>
      <c r="U13" s="122">
        <f>(1-Assumptions!$D$19)*'Revenue Funnel'!T6</f>
        <v>6800</v>
      </c>
      <c r="V13" s="122">
        <f>(1-Assumptions!$D$19)*'Revenue Funnel'!U6</f>
        <v>6800</v>
      </c>
      <c r="W13" s="122">
        <f>(1-Assumptions!$D$19)*'Revenue Funnel'!V6</f>
        <v>10200</v>
      </c>
      <c r="X13" s="122">
        <f>(1-Assumptions!$D$19)*'Revenue Funnel'!W6</f>
        <v>10200</v>
      </c>
      <c r="Y13" s="122">
        <f>(1-Assumptions!$D$19)*'Revenue Funnel'!X6</f>
        <v>10200</v>
      </c>
      <c r="Z13" s="122">
        <f>(1-Assumptions!$D$19)*'Revenue Funnel'!Y6</f>
        <v>10200</v>
      </c>
      <c r="AA13" s="122">
        <f>(1-Assumptions!$D$19)*'Revenue Funnel'!Z6</f>
        <v>10200</v>
      </c>
      <c r="AB13" s="123">
        <f>(1-Assumptions!$D$19)*'Revenue Funnel'!AA6</f>
        <v>10200</v>
      </c>
      <c r="AC13" s="121">
        <f>(1-Assumptions!$D$19)*'Revenue Funnel'!AB6</f>
        <v>19549.999999999996</v>
      </c>
      <c r="AD13" s="122">
        <f>(1-Assumptions!$D$19)*'Revenue Funnel'!AC6</f>
        <v>19549.999999999996</v>
      </c>
      <c r="AE13" s="122">
        <f>(1-Assumptions!$D$19)*'Revenue Funnel'!AD6</f>
        <v>19549.999999999996</v>
      </c>
      <c r="AF13" s="122">
        <f>(1-Assumptions!$D$19)*'Revenue Funnel'!AE6</f>
        <v>19549.999999999996</v>
      </c>
      <c r="AG13" s="122">
        <f>(1-Assumptions!$D$19)*'Revenue Funnel'!AF6</f>
        <v>19549.999999999996</v>
      </c>
      <c r="AH13" s="122">
        <f>(1-Assumptions!$D$19)*'Revenue Funnel'!AG6</f>
        <v>19549.999999999996</v>
      </c>
      <c r="AI13" s="122">
        <f>(1-Assumptions!$D$19)*'Revenue Funnel'!AH6</f>
        <v>19549.999999999996</v>
      </c>
      <c r="AJ13" s="122">
        <f>(1-Assumptions!$D$19)*'Revenue Funnel'!AI6</f>
        <v>19549.999999999996</v>
      </c>
      <c r="AK13" s="122">
        <f>(1-Assumptions!$D$19)*'Revenue Funnel'!AJ6</f>
        <v>19549.999999999996</v>
      </c>
      <c r="AL13" s="122">
        <f>(1-Assumptions!$D$19)*'Revenue Funnel'!AK6</f>
        <v>19549.999999999996</v>
      </c>
      <c r="AM13" s="122">
        <f>(1-Assumptions!$D$19)*'Revenue Funnel'!AL6</f>
        <v>19549.999999999996</v>
      </c>
      <c r="AN13" s="123">
        <f>(1-Assumptions!$D$19)*'Revenue Funnel'!AM6</f>
        <v>19549.999999999996</v>
      </c>
      <c r="AO13" s="121">
        <f>(1-Assumptions!$D$19)*'Revenue Funnel'!AN6</f>
        <v>37770.59999999999</v>
      </c>
      <c r="AP13" s="122">
        <f>(1-Assumptions!$D$19)*'Revenue Funnel'!AO6</f>
        <v>37770.59999999999</v>
      </c>
      <c r="AQ13" s="122">
        <f>(1-Assumptions!$D$19)*'Revenue Funnel'!AP6</f>
        <v>37770.59999999999</v>
      </c>
      <c r="AR13" s="122">
        <f>(1-Assumptions!$D$19)*'Revenue Funnel'!AQ6</f>
        <v>37770.59999999999</v>
      </c>
      <c r="AS13" s="122">
        <f>(1-Assumptions!$D$19)*'Revenue Funnel'!AR6</f>
        <v>37770.59999999999</v>
      </c>
      <c r="AT13" s="122">
        <f>(1-Assumptions!$D$19)*'Revenue Funnel'!AS6</f>
        <v>37770.59999999999</v>
      </c>
      <c r="AU13" s="122">
        <f>(1-Assumptions!$D$19)*'Revenue Funnel'!AT6</f>
        <v>37770.59999999999</v>
      </c>
      <c r="AV13" s="122">
        <f>(1-Assumptions!$D$19)*'Revenue Funnel'!AU6</f>
        <v>37770.59999999999</v>
      </c>
      <c r="AW13" s="122">
        <f>(1-Assumptions!$D$19)*'Revenue Funnel'!AV6</f>
        <v>37770.59999999999</v>
      </c>
      <c r="AX13" s="122">
        <f>(1-Assumptions!$D$19)*'Revenue Funnel'!AW6</f>
        <v>37770.59999999999</v>
      </c>
      <c r="AY13" s="122">
        <f>(1-Assumptions!$D$19)*'Revenue Funnel'!AX6</f>
        <v>37770.59999999999</v>
      </c>
      <c r="AZ13" s="123">
        <f>(1-Assumptions!$D$19)*'Revenue Funnel'!AY6</f>
        <v>37770.59999999999</v>
      </c>
      <c r="BA13" s="121">
        <f>(1-Assumptions!$D$19)*'Revenue Funnel'!AZ6</f>
        <v>65154.28499999998</v>
      </c>
      <c r="BB13" s="122">
        <f>(1-Assumptions!$D$19)*'Revenue Funnel'!BA6</f>
        <v>65154.28499999998</v>
      </c>
      <c r="BC13" s="122">
        <f>(1-Assumptions!$D$19)*'Revenue Funnel'!BB6</f>
        <v>65154.28499999998</v>
      </c>
      <c r="BD13" s="122">
        <f>(1-Assumptions!$D$19)*'Revenue Funnel'!BC6</f>
        <v>65154.28499999998</v>
      </c>
      <c r="BE13" s="122">
        <f>(1-Assumptions!$D$19)*'Revenue Funnel'!BD6</f>
        <v>65154.28499999998</v>
      </c>
      <c r="BF13" s="122">
        <f>(1-Assumptions!$D$19)*'Revenue Funnel'!BE6</f>
        <v>65154.28499999998</v>
      </c>
      <c r="BG13" s="122">
        <f>(1-Assumptions!$D$19)*'Revenue Funnel'!BF6</f>
        <v>65154.28499999998</v>
      </c>
      <c r="BH13" s="122">
        <f>(1-Assumptions!$D$19)*'Revenue Funnel'!BG6</f>
        <v>65154.28499999998</v>
      </c>
      <c r="BI13" s="122">
        <f>(1-Assumptions!$D$19)*'Revenue Funnel'!BH6</f>
        <v>65154.28499999998</v>
      </c>
      <c r="BJ13" s="122">
        <f>(1-Assumptions!$D$19)*'Revenue Funnel'!BI6</f>
        <v>65154.28499999998</v>
      </c>
      <c r="BK13" s="122">
        <f>(1-Assumptions!$D$19)*'Revenue Funnel'!BJ6</f>
        <v>65154.28499999998</v>
      </c>
      <c r="BL13" s="123">
        <f>(1-Assumptions!$D$19)*'Revenue Funnel'!BK6</f>
        <v>65154.28499999998</v>
      </c>
    </row>
    <row r="14" spans="2:64" ht="25.05" customHeight="1" outlineLevel="1">
      <c r="B14" s="63" t="str">
        <f>+Assumptions!B75</f>
        <v>Stripe Commission</v>
      </c>
      <c r="C14" s="290"/>
      <c r="D14" s="1020">
        <v>0</v>
      </c>
      <c r="E14" s="122">
        <f>Assumptions!$D$53*'Revenue Funnel'!D10+Assumptions!$D$53*'Revenue Funnel'!D12+Assumptions!$D$53*'Revenue Funnel'!D31</f>
        <v>0</v>
      </c>
      <c r="F14" s="731">
        <f>Assumptions!$D$53*'Revenue Funnel'!E10+Assumptions!$D$53*'Revenue Funnel'!E12+Assumptions!$D$53*'Revenue Funnel'!E31</f>
        <v>0</v>
      </c>
      <c r="G14" s="122">
        <f>Assumptions!$D$53*'Revenue Funnel'!F10+Assumptions!$D$53*'Revenue Funnel'!F12+Assumptions!$D$53*'Revenue Funnel'!F31</f>
        <v>0</v>
      </c>
      <c r="H14" s="122">
        <f>Assumptions!$D$53*'Revenue Funnel'!G10+Assumptions!$D$53*'Revenue Funnel'!G12+Assumptions!$D$53*'Revenue Funnel'!G31</f>
        <v>0</v>
      </c>
      <c r="I14" s="122">
        <f>Assumptions!$D$53*'Revenue Funnel'!H10+Assumptions!$D$53*'Revenue Funnel'!H12+Assumptions!$D$53*'Revenue Funnel'!H31</f>
        <v>0</v>
      </c>
      <c r="J14" s="122">
        <f>Assumptions!$D$53*'Revenue Funnel'!I10+Assumptions!$D$53*'Revenue Funnel'!I12+Assumptions!$D$53*'Revenue Funnel'!I31</f>
        <v>117.18</v>
      </c>
      <c r="K14" s="122">
        <f>Assumptions!$D$53*'Revenue Funnel'!J10+Assumptions!$D$53*'Revenue Funnel'!J12+Assumptions!$D$53*'Revenue Funnel'!J31</f>
        <v>38.92</v>
      </c>
      <c r="L14" s="122">
        <f>Assumptions!$D$53*'Revenue Funnel'!K10+Assumptions!$D$53*'Revenue Funnel'!K12+Assumptions!$D$53*'Revenue Funnel'!K31</f>
        <v>0</v>
      </c>
      <c r="M14" s="122">
        <f>Assumptions!$D$53*'Revenue Funnel'!L10+Assumptions!$D$53*'Revenue Funnel'!L12+Assumptions!$D$53*'Revenue Funnel'!L31</f>
        <v>0</v>
      </c>
      <c r="N14" s="122">
        <f>Assumptions!$D$53*'Revenue Funnel'!M10+Assumptions!$D$53*'Revenue Funnel'!M12+Assumptions!$D$53*'Revenue Funnel'!M31</f>
        <v>224.4025</v>
      </c>
      <c r="O14" s="122">
        <f>Assumptions!$D$53*'Revenue Funnel'!N10+Assumptions!$D$53*'Revenue Funnel'!N12+Assumptions!$D$53*'Revenue Funnel'!N31</f>
        <v>258.2825</v>
      </c>
      <c r="P14" s="123">
        <f>Assumptions!$D$53*'Revenue Funnel'!O10+Assumptions!$D$53*'Revenue Funnel'!O12+Assumptions!$D$53*'Revenue Funnel'!O31</f>
        <v>264.3725</v>
      </c>
      <c r="Q14" s="121">
        <f>Assumptions!$D$53*'Revenue Funnel'!P10+Assumptions!$D$53*'Revenue Funnel'!P12+Assumptions!$D$53*'Revenue Funnel'!P31</f>
        <v>485.016</v>
      </c>
      <c r="R14" s="122">
        <f>Assumptions!$D$53*'Revenue Funnel'!Q10+Assumptions!$D$53*'Revenue Funnel'!Q12+Assumptions!$D$53*'Revenue Funnel'!Q31</f>
        <v>540.456</v>
      </c>
      <c r="S14" s="122">
        <f>Assumptions!$D$53*'Revenue Funnel'!R10+Assumptions!$D$53*'Revenue Funnel'!R12+Assumptions!$D$53*'Revenue Funnel'!R31</f>
        <v>571.956</v>
      </c>
      <c r="T14" s="122">
        <f>Assumptions!$D$53*'Revenue Funnel'!S10+Assumptions!$D$53*'Revenue Funnel'!S12+Assumptions!$D$53*'Revenue Funnel'!S31</f>
        <v>583.9960000000001</v>
      </c>
      <c r="U14" s="122">
        <f>Assumptions!$D$53*'Revenue Funnel'!T10+Assumptions!$D$53*'Revenue Funnel'!T12+Assumptions!$D$53*'Revenue Funnel'!T31</f>
        <v>596.0360000000001</v>
      </c>
      <c r="V14" s="122">
        <f>Assumptions!$D$53*'Revenue Funnel'!U10+Assumptions!$D$53*'Revenue Funnel'!U12+Assumptions!$D$53*'Revenue Funnel'!U31</f>
        <v>610.596</v>
      </c>
      <c r="W14" s="122">
        <f>Assumptions!$D$53*'Revenue Funnel'!V10+Assumptions!$D$53*'Revenue Funnel'!V12+Assumptions!$D$53*'Revenue Funnel'!V31</f>
        <v>686.056</v>
      </c>
      <c r="X14" s="122">
        <f>Assumptions!$D$53*'Revenue Funnel'!W10+Assumptions!$D$53*'Revenue Funnel'!W12+Assumptions!$D$53*'Revenue Funnel'!W31</f>
        <v>698.74875</v>
      </c>
      <c r="Y14" s="122">
        <f>Assumptions!$D$53*'Revenue Funnel'!X10+Assumptions!$D$53*'Revenue Funnel'!X12+Assumptions!$D$53*'Revenue Funnel'!X31</f>
        <v>717.92875</v>
      </c>
      <c r="Z14" s="122">
        <f>Assumptions!$D$53*'Revenue Funnel'!Y10+Assumptions!$D$53*'Revenue Funnel'!Y12+Assumptions!$D$53*'Revenue Funnel'!Y31</f>
        <v>732.90875</v>
      </c>
      <c r="AA14" s="122">
        <f>Assumptions!$D$53*'Revenue Funnel'!Z10+Assumptions!$D$53*'Revenue Funnel'!Z12+Assumptions!$D$53*'Revenue Funnel'!Z31</f>
        <v>749.2887499999999</v>
      </c>
      <c r="AB14" s="123">
        <f>Assumptions!$D$53*'Revenue Funnel'!AA10+Assumptions!$D$53*'Revenue Funnel'!AA12+Assumptions!$D$53*'Revenue Funnel'!AA31</f>
        <v>769.1215</v>
      </c>
      <c r="AC14" s="121">
        <f>Assumptions!$D$53*'Revenue Funnel'!AB10+Assumptions!$D$53*'Revenue Funnel'!AB12+Assumptions!$D$53*'Revenue Funnel'!AB31</f>
        <v>1147.4032499999998</v>
      </c>
      <c r="AD14" s="122">
        <f>Assumptions!$D$53*'Revenue Funnel'!AC10+Assumptions!$D$53*'Revenue Funnel'!AC12+Assumptions!$D$53*'Revenue Funnel'!AC31</f>
        <v>1167.4232499999998</v>
      </c>
      <c r="AE14" s="122">
        <f>Assumptions!$D$53*'Revenue Funnel'!AD10+Assumptions!$D$53*'Revenue Funnel'!AD12+Assumptions!$D$53*'Revenue Funnel'!AD31</f>
        <v>1189.076</v>
      </c>
      <c r="AF14" s="122">
        <f>Assumptions!$D$53*'Revenue Funnel'!AE10+Assumptions!$D$53*'Revenue Funnel'!AE12+Assumptions!$D$53*'Revenue Funnel'!AE31</f>
        <v>1206.716</v>
      </c>
      <c r="AG14" s="122">
        <f>Assumptions!$D$53*'Revenue Funnel'!AF10+Assumptions!$D$53*'Revenue Funnel'!AF12+Assumptions!$D$53*'Revenue Funnel'!AF31</f>
        <v>1230.656</v>
      </c>
      <c r="AH14" s="122">
        <f>Assumptions!$D$53*'Revenue Funnel'!AG10+Assumptions!$D$53*'Revenue Funnel'!AG12+Assumptions!$D$53*'Revenue Funnel'!AG31</f>
        <v>1253.1487499999998</v>
      </c>
      <c r="AI14" s="122">
        <f>Assumptions!$D$53*'Revenue Funnel'!AH10+Assumptions!$D$53*'Revenue Funnel'!AH12+Assumptions!$D$53*'Revenue Funnel'!AH31</f>
        <v>1277.92875</v>
      </c>
      <c r="AJ14" s="122">
        <f>Assumptions!$D$53*'Revenue Funnel'!AI10+Assumptions!$D$53*'Revenue Funnel'!AI12+Assumptions!$D$53*'Revenue Funnel'!AI31</f>
        <v>1302.7087499999998</v>
      </c>
      <c r="AK14" s="122">
        <f>Assumptions!$D$53*'Revenue Funnel'!AJ10+Assumptions!$D$53*'Revenue Funnel'!AJ12+Assumptions!$D$53*'Revenue Funnel'!AJ31</f>
        <v>1332.3415</v>
      </c>
      <c r="AL14" s="122">
        <f>Assumptions!$D$53*'Revenue Funnel'!AK10+Assumptions!$D$53*'Revenue Funnel'!AK12+Assumptions!$D$53*'Revenue Funnel'!AK31</f>
        <v>1357.9615</v>
      </c>
      <c r="AM14" s="122">
        <f>Assumptions!$D$53*'Revenue Funnel'!AL10+Assumptions!$D$53*'Revenue Funnel'!AL12+Assumptions!$D$53*'Revenue Funnel'!AL31</f>
        <v>1391.7015</v>
      </c>
      <c r="AN14" s="123">
        <f>Assumptions!$D$53*'Revenue Funnel'!AM10+Assumptions!$D$53*'Revenue Funnel'!AM12+Assumptions!$D$53*'Revenue Funnel'!AM31</f>
        <v>1419.5614999999998</v>
      </c>
      <c r="AO14" s="121">
        <f>Assumptions!$D$53*'Revenue Funnel'!AN10+Assumptions!$D$53*'Revenue Funnel'!AN12+Assumptions!$D$53*'Revenue Funnel'!AN31</f>
        <v>1950.28575</v>
      </c>
      <c r="AP14" s="122">
        <f>Assumptions!$D$53*'Revenue Funnel'!AO10+Assumptions!$D$53*'Revenue Funnel'!AO12+Assumptions!$D$53*'Revenue Funnel'!AO31</f>
        <v>1985.5185</v>
      </c>
      <c r="AQ14" s="122">
        <f>Assumptions!$D$53*'Revenue Funnel'!AP10+Assumptions!$D$53*'Revenue Funnel'!AP12+Assumptions!$D$53*'Revenue Funnel'!AP31</f>
        <v>2020.9385</v>
      </c>
      <c r="AR14" s="122">
        <f>Assumptions!$D$53*'Revenue Funnel'!AQ10+Assumptions!$D$53*'Revenue Funnel'!AQ12+Assumptions!$D$53*'Revenue Funnel'!AQ31</f>
        <v>2063.0785</v>
      </c>
      <c r="AS14" s="122">
        <f>Assumptions!$D$53*'Revenue Funnel'!AR10+Assumptions!$D$53*'Revenue Funnel'!AR12+Assumptions!$D$53*'Revenue Funnel'!AR31</f>
        <v>2102.324</v>
      </c>
      <c r="AT14" s="122">
        <f>Assumptions!$D$53*'Revenue Funnel'!AS10+Assumptions!$D$53*'Revenue Funnel'!AS12+Assumptions!$D$53*'Revenue Funnel'!AS31</f>
        <v>2146.424</v>
      </c>
      <c r="AU14" s="122">
        <f>Assumptions!$D$53*'Revenue Funnel'!AT10+Assumptions!$D$53*'Revenue Funnel'!AT12+Assumptions!$D$53*'Revenue Funnel'!AT31</f>
        <v>2362.85</v>
      </c>
      <c r="AV14" s="122">
        <f>Assumptions!$D$53*'Revenue Funnel'!AU10+Assumptions!$D$53*'Revenue Funnel'!AU12+Assumptions!$D$53*'Revenue Funnel'!AU31</f>
        <v>2411.24275</v>
      </c>
      <c r="AW14" s="122">
        <f>Assumptions!$D$53*'Revenue Funnel'!AV10+Assumptions!$D$53*'Revenue Funnel'!AV12+Assumptions!$D$53*'Revenue Funnel'!AV31</f>
        <v>2465.3755</v>
      </c>
      <c r="AX14" s="122">
        <f>Assumptions!$D$53*'Revenue Funnel'!AW10+Assumptions!$D$53*'Revenue Funnel'!AW12+Assumptions!$D$53*'Revenue Funnel'!AW31</f>
        <v>2518.9955</v>
      </c>
      <c r="AY14" s="122">
        <f>Assumptions!$D$53*'Revenue Funnel'!AX10+Assumptions!$D$53*'Revenue Funnel'!AX12+Assumptions!$D$53*'Revenue Funnel'!AX31</f>
        <v>2575.7882499999996</v>
      </c>
      <c r="AZ14" s="123">
        <f>Assumptions!$D$53*'Revenue Funnel'!AY10+Assumptions!$D$53*'Revenue Funnel'!AY12+Assumptions!$D$53*'Revenue Funnel'!AY31</f>
        <v>2635.2882499999996</v>
      </c>
      <c r="BA14" s="121">
        <f>Assumptions!$D$53*'Revenue Funnel'!AZ10+Assumptions!$D$53*'Revenue Funnel'!AZ12+Assumptions!$D$53*'Revenue Funnel'!AZ31</f>
        <v>3372.4788999999996</v>
      </c>
      <c r="BB14" s="122">
        <f>Assumptions!$D$53*'Revenue Funnel'!BA10+Assumptions!$D$53*'Revenue Funnel'!BA12+Assumptions!$D$53*'Revenue Funnel'!BA31</f>
        <v>3438.3243999999995</v>
      </c>
      <c r="BC14" s="122">
        <f>Assumptions!$D$53*'Revenue Funnel'!BB10+Assumptions!$D$53*'Revenue Funnel'!BB12+Assumptions!$D$53*'Revenue Funnel'!BB31</f>
        <v>3511.5443999999998</v>
      </c>
      <c r="BD14" s="122">
        <f>Assumptions!$D$53*'Revenue Funnel'!BC10+Assumptions!$D$53*'Revenue Funnel'!BC12+Assumptions!$D$53*'Revenue Funnel'!BC31</f>
        <v>3582.3371499999994</v>
      </c>
      <c r="BE14" s="122">
        <f>Assumptions!$D$53*'Revenue Funnel'!BD10+Assumptions!$D$53*'Revenue Funnel'!BD12+Assumptions!$D$53*'Revenue Funnel'!BD31</f>
        <v>3669.7426499999997</v>
      </c>
      <c r="BF14" s="122">
        <f>Assumptions!$D$53*'Revenue Funnel'!BE10+Assumptions!$D$53*'Revenue Funnel'!BE12+Assumptions!$D$53*'Revenue Funnel'!BE31</f>
        <v>3751.2226499999997</v>
      </c>
      <c r="BG14" s="122">
        <f>Assumptions!$D$53*'Revenue Funnel'!BF10+Assumptions!$D$53*'Revenue Funnel'!BF12+Assumptions!$D$53*'Revenue Funnel'!BF31</f>
        <v>4013.6421499999997</v>
      </c>
      <c r="BH14" s="122">
        <f>Assumptions!$D$53*'Revenue Funnel'!BG10+Assumptions!$D$53*'Revenue Funnel'!BG12+Assumptions!$D$53*'Revenue Funnel'!BG31</f>
        <v>4107.6749</v>
      </c>
      <c r="BI14" s="122">
        <f>Assumptions!$D$53*'Revenue Funnel'!BH10+Assumptions!$D$53*'Revenue Funnel'!BH12+Assumptions!$D$53*'Revenue Funnel'!BH31</f>
        <v>4208.3349</v>
      </c>
      <c r="BJ14" s="122">
        <f>Assumptions!$D$53*'Revenue Funnel'!BI10+Assumptions!$D$53*'Revenue Funnel'!BI12+Assumptions!$D$53*'Revenue Funnel'!BI31</f>
        <v>4314.9204</v>
      </c>
      <c r="BK14" s="122">
        <f>Assumptions!$D$53*'Revenue Funnel'!BJ10+Assumptions!$D$53*'Revenue Funnel'!BJ12+Assumptions!$D$53*'Revenue Funnel'!BJ31</f>
        <v>4421.83315</v>
      </c>
      <c r="BL14" s="123">
        <f>Assumptions!$D$53*'Revenue Funnel'!BK10+Assumptions!$D$53*'Revenue Funnel'!BK12+Assumptions!$D$53*'Revenue Funnel'!BK31</f>
        <v>4542.7931499999995</v>
      </c>
    </row>
    <row r="15" spans="2:64" ht="25.05" customHeight="1" outlineLevel="1">
      <c r="B15" s="63" t="str">
        <f>+Assumptions!B76</f>
        <v>Digital Fair Cost</v>
      </c>
      <c r="C15" s="290"/>
      <c r="D15" s="1020">
        <v>0</v>
      </c>
      <c r="E15" s="122">
        <f>+SUM(Assumptions!$D$54:$D$59)*'Revenue Funnel'!D11</f>
        <v>0</v>
      </c>
      <c r="F15" s="122">
        <f>+SUM(Assumptions!$D$54:$D$59)*'Revenue Funnel'!E11</f>
        <v>0</v>
      </c>
      <c r="G15" s="122">
        <f>+SUM(Assumptions!$D$54:$D$59)*'Revenue Funnel'!F11</f>
        <v>0</v>
      </c>
      <c r="H15" s="122">
        <f>+SUM(Assumptions!$D$54:$D$59)*'Revenue Funnel'!G11</f>
        <v>0</v>
      </c>
      <c r="I15" s="122">
        <f>+SUM(Assumptions!$D$54:$D$59)*'Revenue Funnel'!H11</f>
        <v>0</v>
      </c>
      <c r="J15" s="731">
        <f>6400-117</f>
        <v>6283</v>
      </c>
      <c r="K15" s="122">
        <f>2500-39</f>
        <v>2461</v>
      </c>
      <c r="L15" s="122">
        <f>+SUM(Assumptions!$D$54:$D$59)*'Revenue Funnel'!K11</f>
        <v>0</v>
      </c>
      <c r="M15" s="122">
        <f>+SUM(Assumptions!$D$54:$D$59)*'Revenue Funnel'!L11</f>
        <v>0</v>
      </c>
      <c r="N15" s="122">
        <f>+SUM(Assumptions!$D$54:$D$59)*'Revenue Funnel'!M11</f>
        <v>7100</v>
      </c>
      <c r="O15" s="122">
        <f>+SUM(Assumptions!$D$54:$D$59)*'Revenue Funnel'!N11</f>
        <v>7100</v>
      </c>
      <c r="P15" s="123">
        <f>+SUM(Assumptions!$D$54:$D$59)*'Revenue Funnel'!O11</f>
        <v>7100</v>
      </c>
      <c r="Q15" s="121">
        <f>+SUM(Assumptions!$D$54:$D$59)*'Revenue Funnel'!P11</f>
        <v>7100</v>
      </c>
      <c r="R15" s="122">
        <f>+SUM(Assumptions!$D$54:$D$59)*'Revenue Funnel'!Q11</f>
        <v>7100</v>
      </c>
      <c r="S15" s="122">
        <f>+SUM(Assumptions!$D$54:$D$59)*'Revenue Funnel'!R11</f>
        <v>7100</v>
      </c>
      <c r="T15" s="122">
        <f>+SUM(Assumptions!$D$54:$D$59)*'Revenue Funnel'!S11</f>
        <v>7100</v>
      </c>
      <c r="U15" s="122">
        <f>+SUM(Assumptions!$D$54:$D$59)*'Revenue Funnel'!T11</f>
        <v>7100</v>
      </c>
      <c r="V15" s="122">
        <f>+SUM(Assumptions!$D$54:$D$59)*'Revenue Funnel'!U11</f>
        <v>7100</v>
      </c>
      <c r="W15" s="122">
        <f>+SUM(Assumptions!$D$54:$D$59)*'Revenue Funnel'!V11</f>
        <v>7100</v>
      </c>
      <c r="X15" s="122">
        <f>+SUM(Assumptions!$D$54:$D$59)*'Revenue Funnel'!W11</f>
        <v>7100</v>
      </c>
      <c r="Y15" s="122">
        <f>+SUM(Assumptions!$D$54:$D$59)*'Revenue Funnel'!X11</f>
        <v>7100</v>
      </c>
      <c r="Z15" s="122">
        <f>+SUM(Assumptions!$D$54:$D$59)*'Revenue Funnel'!Y11</f>
        <v>7100</v>
      </c>
      <c r="AA15" s="122">
        <f>+SUM(Assumptions!$D$54:$D$59)*'Revenue Funnel'!Z11</f>
        <v>7100</v>
      </c>
      <c r="AB15" s="123">
        <f>+SUM(Assumptions!$D$54:$D$59)*'Revenue Funnel'!AA11</f>
        <v>7100</v>
      </c>
      <c r="AC15" s="121">
        <f>+SUM(Assumptions!$D$54:$D$59)*'Revenue Funnel'!AB11</f>
        <v>14200</v>
      </c>
      <c r="AD15" s="122">
        <f>+SUM(Assumptions!$D$54:$D$59)*'Revenue Funnel'!AC11</f>
        <v>14200</v>
      </c>
      <c r="AE15" s="122">
        <f>+SUM(Assumptions!$D$54:$D$59)*'Revenue Funnel'!AD11</f>
        <v>14200</v>
      </c>
      <c r="AF15" s="122">
        <f>+SUM(Assumptions!$D$54:$D$59)*'Revenue Funnel'!AE11</f>
        <v>14200</v>
      </c>
      <c r="AG15" s="122">
        <f>+SUM(Assumptions!$D$54:$D$59)*'Revenue Funnel'!AF11</f>
        <v>14200</v>
      </c>
      <c r="AH15" s="122">
        <f>+SUM(Assumptions!$D$54:$D$59)*'Revenue Funnel'!AG11</f>
        <v>14200</v>
      </c>
      <c r="AI15" s="122">
        <f>+SUM(Assumptions!$D$54:$D$59)*'Revenue Funnel'!AH11</f>
        <v>14200</v>
      </c>
      <c r="AJ15" s="122">
        <f>+SUM(Assumptions!$D$54:$D$59)*'Revenue Funnel'!AI11</f>
        <v>14200</v>
      </c>
      <c r="AK15" s="122">
        <f>+SUM(Assumptions!$D$54:$D$59)*'Revenue Funnel'!AJ11</f>
        <v>14200</v>
      </c>
      <c r="AL15" s="122">
        <f>+SUM(Assumptions!$D$54:$D$59)*'Revenue Funnel'!AK11</f>
        <v>14200</v>
      </c>
      <c r="AM15" s="122">
        <f>+SUM(Assumptions!$D$54:$D$59)*'Revenue Funnel'!AL11</f>
        <v>14200</v>
      </c>
      <c r="AN15" s="123">
        <f>+SUM(Assumptions!$D$54:$D$59)*'Revenue Funnel'!AM11</f>
        <v>14200</v>
      </c>
      <c r="AO15" s="121">
        <f>+SUM(Assumptions!$D$54:$D$59)*'Revenue Funnel'!AN11</f>
        <v>21300</v>
      </c>
      <c r="AP15" s="122">
        <f>+SUM(Assumptions!$D$54:$D$59)*'Revenue Funnel'!AO11</f>
        <v>21300</v>
      </c>
      <c r="AQ15" s="122">
        <f>+SUM(Assumptions!$D$54:$D$59)*'Revenue Funnel'!AP11</f>
        <v>21300</v>
      </c>
      <c r="AR15" s="122">
        <f>+SUM(Assumptions!$D$54:$D$59)*'Revenue Funnel'!AQ11</f>
        <v>21300</v>
      </c>
      <c r="AS15" s="122">
        <f>+SUM(Assumptions!$D$54:$D$59)*'Revenue Funnel'!AR11</f>
        <v>21300</v>
      </c>
      <c r="AT15" s="122">
        <f>+SUM(Assumptions!$D$54:$D$59)*'Revenue Funnel'!AS11</f>
        <v>21300</v>
      </c>
      <c r="AU15" s="122">
        <f>+SUM(Assumptions!$D$54:$D$59)*'Revenue Funnel'!AT11</f>
        <v>28400</v>
      </c>
      <c r="AV15" s="122">
        <f>+SUM(Assumptions!$D$54:$D$59)*'Revenue Funnel'!AU11</f>
        <v>28400</v>
      </c>
      <c r="AW15" s="122">
        <f>+SUM(Assumptions!$D$54:$D$59)*'Revenue Funnel'!AV11</f>
        <v>28400</v>
      </c>
      <c r="AX15" s="122">
        <f>+SUM(Assumptions!$D$54:$D$59)*'Revenue Funnel'!AW11</f>
        <v>28400</v>
      </c>
      <c r="AY15" s="122">
        <f>+SUM(Assumptions!$D$54:$D$59)*'Revenue Funnel'!AX11</f>
        <v>28400</v>
      </c>
      <c r="AZ15" s="123">
        <f>+SUM(Assumptions!$D$54:$D$59)*'Revenue Funnel'!AY11</f>
        <v>28400</v>
      </c>
      <c r="BA15" s="121">
        <f>+SUM(Assumptions!$D$54:$D$59)*'Revenue Funnel'!AZ11</f>
        <v>35500</v>
      </c>
      <c r="BB15" s="122">
        <f>+SUM(Assumptions!$D$54:$D$59)*'Revenue Funnel'!BA11</f>
        <v>35500</v>
      </c>
      <c r="BC15" s="122">
        <f>+SUM(Assumptions!$D$54:$D$59)*'Revenue Funnel'!BB11</f>
        <v>35500</v>
      </c>
      <c r="BD15" s="122">
        <f>+SUM(Assumptions!$D$54:$D$59)*'Revenue Funnel'!BC11</f>
        <v>35500</v>
      </c>
      <c r="BE15" s="122">
        <f>+SUM(Assumptions!$D$54:$D$59)*'Revenue Funnel'!BD11</f>
        <v>35500</v>
      </c>
      <c r="BF15" s="122">
        <f>+SUM(Assumptions!$D$54:$D$59)*'Revenue Funnel'!BE11</f>
        <v>35500</v>
      </c>
      <c r="BG15" s="122">
        <f>+SUM(Assumptions!$D$54:$D$59)*'Revenue Funnel'!BF11</f>
        <v>42600</v>
      </c>
      <c r="BH15" s="122">
        <f>+SUM(Assumptions!$D$54:$D$59)*'Revenue Funnel'!BG11</f>
        <v>42600</v>
      </c>
      <c r="BI15" s="122">
        <f>+SUM(Assumptions!$D$54:$D$59)*'Revenue Funnel'!BH11</f>
        <v>42600</v>
      </c>
      <c r="BJ15" s="122">
        <f>+SUM(Assumptions!$D$54:$D$59)*'Revenue Funnel'!BI11</f>
        <v>42600</v>
      </c>
      <c r="BK15" s="122">
        <f>+SUM(Assumptions!$D$54:$D$59)*'Revenue Funnel'!BJ11</f>
        <v>42600</v>
      </c>
      <c r="BL15" s="123">
        <f>+SUM(Assumptions!$D$54:$D$59)*'Revenue Funnel'!BK11</f>
        <v>42600</v>
      </c>
    </row>
    <row r="16" spans="2:64" ht="25.05" customHeight="1" outlineLevel="1">
      <c r="B16" s="63" t="str">
        <f>+Assumptions!B77</f>
        <v>Shipping</v>
      </c>
      <c r="C16" s="290"/>
      <c r="D16" s="1020">
        <v>0</v>
      </c>
      <c r="E16" s="122">
        <f>+Assumptions!$D$67*('Revenue Funnel'!D24+'Revenue Funnel'!D26)</f>
        <v>0</v>
      </c>
      <c r="F16" s="731">
        <f>+Assumptions!$D$67*('Revenue Funnel'!E24+'Revenue Funnel'!E26)</f>
        <v>0</v>
      </c>
      <c r="G16" s="122">
        <f>+Assumptions!$D$67*('Revenue Funnel'!F24+'Revenue Funnel'!F26)</f>
        <v>0</v>
      </c>
      <c r="H16" s="122">
        <f>+Assumptions!$D$67*('Revenue Funnel'!G24+'Revenue Funnel'!G26)</f>
        <v>0</v>
      </c>
      <c r="I16" s="122">
        <f>+Assumptions!$D$67*('Revenue Funnel'!H24+'Revenue Funnel'!H26)</f>
        <v>0</v>
      </c>
      <c r="J16" s="122">
        <f>+Assumptions!$D$67*('Revenue Funnel'!I24+'Revenue Funnel'!I26)</f>
        <v>0</v>
      </c>
      <c r="K16" s="122">
        <f>+Assumptions!$D$67*('Revenue Funnel'!J24+'Revenue Funnel'!J26)</f>
        <v>0</v>
      </c>
      <c r="L16" s="122">
        <f>+Assumptions!$D$67*('Revenue Funnel'!K24+'Revenue Funnel'!K26)</f>
        <v>0</v>
      </c>
      <c r="M16" s="122">
        <f>+Assumptions!$D$67*('Revenue Funnel'!L24+'Revenue Funnel'!L26)</f>
        <v>0</v>
      </c>
      <c r="N16" s="122">
        <f>+Assumptions!$D$67*('Revenue Funnel'!M24+'Revenue Funnel'!M26)</f>
        <v>550</v>
      </c>
      <c r="O16" s="122">
        <f>+Assumptions!$D$67*('Revenue Funnel'!N24+'Revenue Funnel'!N26)</f>
        <v>550</v>
      </c>
      <c r="P16" s="123">
        <f>+Assumptions!$D$67*('Revenue Funnel'!O24+'Revenue Funnel'!O26)</f>
        <v>550</v>
      </c>
      <c r="Q16" s="121">
        <f>+Assumptions!$D$67*('Revenue Funnel'!P24+'Revenue Funnel'!P26)</f>
        <v>520</v>
      </c>
      <c r="R16" s="122">
        <f>+Assumptions!$D$67*('Revenue Funnel'!Q24+'Revenue Funnel'!Q26)</f>
        <v>520</v>
      </c>
      <c r="S16" s="122">
        <f>+Assumptions!$D$67*('Revenue Funnel'!R24+'Revenue Funnel'!R26)</f>
        <v>520</v>
      </c>
      <c r="T16" s="122">
        <f>+Assumptions!$D$67*('Revenue Funnel'!S24+'Revenue Funnel'!S26)</f>
        <v>520</v>
      </c>
      <c r="U16" s="122">
        <f>+Assumptions!$D$67*('Revenue Funnel'!T24+'Revenue Funnel'!T26)</f>
        <v>520</v>
      </c>
      <c r="V16" s="122">
        <f>+Assumptions!$D$67*('Revenue Funnel'!U24+'Revenue Funnel'!U26)</f>
        <v>520</v>
      </c>
      <c r="W16" s="122">
        <f>+Assumptions!$D$67*('Revenue Funnel'!V24+'Revenue Funnel'!V26)</f>
        <v>520</v>
      </c>
      <c r="X16" s="122">
        <f>+Assumptions!$D$67*('Revenue Funnel'!W24+'Revenue Funnel'!W26)</f>
        <v>525</v>
      </c>
      <c r="Y16" s="122">
        <f>+Assumptions!$D$67*('Revenue Funnel'!X24+'Revenue Funnel'!X26)</f>
        <v>525</v>
      </c>
      <c r="Z16" s="122">
        <f>+Assumptions!$D$67*('Revenue Funnel'!Y24+'Revenue Funnel'!Y26)</f>
        <v>525</v>
      </c>
      <c r="AA16" s="122">
        <f>+Assumptions!$D$67*('Revenue Funnel'!Z24+'Revenue Funnel'!Z26)</f>
        <v>525</v>
      </c>
      <c r="AB16" s="123">
        <f>+Assumptions!$D$67*('Revenue Funnel'!AA24+'Revenue Funnel'!AA26)</f>
        <v>530</v>
      </c>
      <c r="AC16" s="121">
        <f>+Assumptions!$D$67*('Revenue Funnel'!AB24+'Revenue Funnel'!AB26)</f>
        <v>795</v>
      </c>
      <c r="AD16" s="122">
        <f>+Assumptions!$D$67*('Revenue Funnel'!AC24+'Revenue Funnel'!AC26)</f>
        <v>795</v>
      </c>
      <c r="AE16" s="122">
        <f>+Assumptions!$D$67*('Revenue Funnel'!AD24+'Revenue Funnel'!AD26)</f>
        <v>800</v>
      </c>
      <c r="AF16" s="122">
        <f>+Assumptions!$D$67*('Revenue Funnel'!AE24+'Revenue Funnel'!AE26)</f>
        <v>800</v>
      </c>
      <c r="AG16" s="122">
        <f>+Assumptions!$D$67*('Revenue Funnel'!AF24+'Revenue Funnel'!AF26)</f>
        <v>800</v>
      </c>
      <c r="AH16" s="122">
        <f>+Assumptions!$D$67*('Revenue Funnel'!AG24+'Revenue Funnel'!AG26)</f>
        <v>805</v>
      </c>
      <c r="AI16" s="122">
        <f>+Assumptions!$D$67*('Revenue Funnel'!AH24+'Revenue Funnel'!AH26)</f>
        <v>805</v>
      </c>
      <c r="AJ16" s="122">
        <f>+Assumptions!$D$67*('Revenue Funnel'!AI24+'Revenue Funnel'!AI26)</f>
        <v>805</v>
      </c>
      <c r="AK16" s="122">
        <f>+Assumptions!$D$67*('Revenue Funnel'!AJ24+'Revenue Funnel'!AJ26)</f>
        <v>810</v>
      </c>
      <c r="AL16" s="122">
        <f>+Assumptions!$D$67*('Revenue Funnel'!AK24+'Revenue Funnel'!AK26)</f>
        <v>810</v>
      </c>
      <c r="AM16" s="122">
        <f>+Assumptions!$D$67*('Revenue Funnel'!AL24+'Revenue Funnel'!AL26)</f>
        <v>810</v>
      </c>
      <c r="AN16" s="123">
        <f>+Assumptions!$D$67*('Revenue Funnel'!AM24+'Revenue Funnel'!AM26)</f>
        <v>810</v>
      </c>
      <c r="AO16" s="121">
        <f>+Assumptions!$D$67*('Revenue Funnel'!AN24+'Revenue Funnel'!AN26)</f>
        <v>1225</v>
      </c>
      <c r="AP16" s="122">
        <f>+Assumptions!$D$67*('Revenue Funnel'!AO24+'Revenue Funnel'!AO26)</f>
        <v>1230</v>
      </c>
      <c r="AQ16" s="122">
        <f>+Assumptions!$D$67*('Revenue Funnel'!AP24+'Revenue Funnel'!AP26)</f>
        <v>1230</v>
      </c>
      <c r="AR16" s="122">
        <f>+Assumptions!$D$67*('Revenue Funnel'!AQ24+'Revenue Funnel'!AQ26)</f>
        <v>1230</v>
      </c>
      <c r="AS16" s="122">
        <f>+Assumptions!$D$67*('Revenue Funnel'!AR24+'Revenue Funnel'!AR26)</f>
        <v>1240</v>
      </c>
      <c r="AT16" s="122">
        <f>+Assumptions!$D$67*('Revenue Funnel'!AS24+'Revenue Funnel'!AS26)</f>
        <v>1240</v>
      </c>
      <c r="AU16" s="122">
        <f>+Assumptions!$D$67*('Revenue Funnel'!AT24+'Revenue Funnel'!AT26)</f>
        <v>1240</v>
      </c>
      <c r="AV16" s="122">
        <f>+Assumptions!$D$67*('Revenue Funnel'!AU24+'Revenue Funnel'!AU26)</f>
        <v>1245</v>
      </c>
      <c r="AW16" s="122">
        <f>+Assumptions!$D$67*('Revenue Funnel'!AV24+'Revenue Funnel'!AV26)</f>
        <v>1250</v>
      </c>
      <c r="AX16" s="122">
        <f>+Assumptions!$D$67*('Revenue Funnel'!AW24+'Revenue Funnel'!AW26)</f>
        <v>1250</v>
      </c>
      <c r="AY16" s="122">
        <f>+Assumptions!$D$67*('Revenue Funnel'!AX24+'Revenue Funnel'!AX26)</f>
        <v>1255</v>
      </c>
      <c r="AZ16" s="123">
        <f>+Assumptions!$D$67*('Revenue Funnel'!AY24+'Revenue Funnel'!AY26)</f>
        <v>1255</v>
      </c>
      <c r="BA16" s="121">
        <f>+Assumptions!$D$67*('Revenue Funnel'!AZ24+'Revenue Funnel'!AZ26)</f>
        <v>1890</v>
      </c>
      <c r="BB16" s="122">
        <f>+Assumptions!$D$67*('Revenue Funnel'!BA24+'Revenue Funnel'!BA26)</f>
        <v>1900</v>
      </c>
      <c r="BC16" s="122">
        <f>+Assumptions!$D$67*('Revenue Funnel'!BB24+'Revenue Funnel'!BB26)</f>
        <v>1900</v>
      </c>
      <c r="BD16" s="122">
        <f>+Assumptions!$D$67*('Revenue Funnel'!BC24+'Revenue Funnel'!BC26)</f>
        <v>1905</v>
      </c>
      <c r="BE16" s="122">
        <f>+Assumptions!$D$67*('Revenue Funnel'!BD24+'Revenue Funnel'!BD26)</f>
        <v>1915</v>
      </c>
      <c r="BF16" s="122">
        <f>+Assumptions!$D$67*('Revenue Funnel'!BE24+'Revenue Funnel'!BE26)</f>
        <v>1915</v>
      </c>
      <c r="BG16" s="122">
        <f>+Assumptions!$D$67*('Revenue Funnel'!BF24+'Revenue Funnel'!BF26)</f>
        <v>1925</v>
      </c>
      <c r="BH16" s="122">
        <f>+Assumptions!$D$67*('Revenue Funnel'!BG24+'Revenue Funnel'!BG26)</f>
        <v>1930</v>
      </c>
      <c r="BI16" s="122">
        <f>+Assumptions!$D$67*('Revenue Funnel'!BH24+'Revenue Funnel'!BH26)</f>
        <v>1930</v>
      </c>
      <c r="BJ16" s="122">
        <f>+Assumptions!$D$67*('Revenue Funnel'!BI24+'Revenue Funnel'!BI26)</f>
        <v>1940</v>
      </c>
      <c r="BK16" s="122">
        <f>+Assumptions!$D$67*('Revenue Funnel'!BJ24+'Revenue Funnel'!BJ26)</f>
        <v>1945</v>
      </c>
      <c r="BL16" s="123">
        <f>+Assumptions!$D$67*('Revenue Funnel'!BK24+'Revenue Funnel'!BK26)</f>
        <v>1945</v>
      </c>
    </row>
    <row r="17" spans="2:64" ht="25.05" customHeight="1" hidden="1" outlineLevel="1">
      <c r="B17" s="63"/>
      <c r="C17" s="290"/>
      <c r="D17" s="1020"/>
      <c r="E17" s="122"/>
      <c r="F17" s="122"/>
      <c r="G17" s="122"/>
      <c r="H17" s="122"/>
      <c r="I17" s="122"/>
      <c r="J17" s="122"/>
      <c r="K17" s="122"/>
      <c r="L17" s="122"/>
      <c r="M17" s="122"/>
      <c r="N17" s="122"/>
      <c r="O17" s="122"/>
      <c r="P17" s="123"/>
      <c r="Q17" s="121"/>
      <c r="R17" s="122"/>
      <c r="S17" s="122"/>
      <c r="T17" s="122"/>
      <c r="U17" s="122"/>
      <c r="V17" s="122"/>
      <c r="W17" s="122"/>
      <c r="X17" s="122"/>
      <c r="Y17" s="122"/>
      <c r="Z17" s="122"/>
      <c r="AA17" s="122"/>
      <c r="AB17" s="123"/>
      <c r="AC17" s="121"/>
      <c r="AD17" s="122"/>
      <c r="AE17" s="122"/>
      <c r="AF17" s="122"/>
      <c r="AG17" s="122"/>
      <c r="AH17" s="122"/>
      <c r="AI17" s="122"/>
      <c r="AJ17" s="122"/>
      <c r="AK17" s="122"/>
      <c r="AL17" s="122"/>
      <c r="AM17" s="122"/>
      <c r="AN17" s="123"/>
      <c r="AO17" s="121"/>
      <c r="AP17" s="122"/>
      <c r="AQ17" s="122"/>
      <c r="AR17" s="122"/>
      <c r="AS17" s="122"/>
      <c r="AT17" s="122"/>
      <c r="AU17" s="122"/>
      <c r="AV17" s="122"/>
      <c r="AW17" s="122"/>
      <c r="AX17" s="122"/>
      <c r="AY17" s="122"/>
      <c r="AZ17" s="123"/>
      <c r="BA17" s="121"/>
      <c r="BB17" s="122"/>
      <c r="BC17" s="122"/>
      <c r="BD17" s="122"/>
      <c r="BE17" s="122"/>
      <c r="BF17" s="122"/>
      <c r="BG17" s="122"/>
      <c r="BH17" s="122"/>
      <c r="BI17" s="122"/>
      <c r="BJ17" s="122"/>
      <c r="BK17" s="122"/>
      <c r="BL17" s="123"/>
    </row>
    <row r="18" spans="2:64" ht="25.05" customHeight="1" hidden="1" outlineLevel="1">
      <c r="B18" s="63"/>
      <c r="C18" s="290"/>
      <c r="D18" s="1020"/>
      <c r="E18" s="122"/>
      <c r="F18" s="122"/>
      <c r="G18" s="122"/>
      <c r="H18" s="122"/>
      <c r="I18" s="122"/>
      <c r="J18" s="122"/>
      <c r="K18" s="122"/>
      <c r="L18" s="122"/>
      <c r="M18" s="122"/>
      <c r="N18" s="122"/>
      <c r="O18" s="122"/>
      <c r="P18" s="123"/>
      <c r="Q18" s="121"/>
      <c r="R18" s="122"/>
      <c r="S18" s="122"/>
      <c r="T18" s="122"/>
      <c r="U18" s="122"/>
      <c r="V18" s="122"/>
      <c r="W18" s="122"/>
      <c r="X18" s="122"/>
      <c r="Y18" s="122"/>
      <c r="Z18" s="122"/>
      <c r="AA18" s="122"/>
      <c r="AB18" s="123"/>
      <c r="AC18" s="121"/>
      <c r="AD18" s="122"/>
      <c r="AE18" s="122"/>
      <c r="AF18" s="122"/>
      <c r="AG18" s="122"/>
      <c r="AH18" s="122"/>
      <c r="AI18" s="122"/>
      <c r="AJ18" s="122"/>
      <c r="AK18" s="122"/>
      <c r="AL18" s="122"/>
      <c r="AM18" s="122"/>
      <c r="AN18" s="123"/>
      <c r="AO18" s="121"/>
      <c r="AP18" s="122"/>
      <c r="AQ18" s="122"/>
      <c r="AR18" s="122"/>
      <c r="AS18" s="122"/>
      <c r="AT18" s="122"/>
      <c r="AU18" s="122"/>
      <c r="AV18" s="122"/>
      <c r="AW18" s="122"/>
      <c r="AX18" s="122"/>
      <c r="AY18" s="122"/>
      <c r="AZ18" s="123"/>
      <c r="BA18" s="121"/>
      <c r="BB18" s="122"/>
      <c r="BC18" s="122"/>
      <c r="BD18" s="122"/>
      <c r="BE18" s="122"/>
      <c r="BF18" s="122"/>
      <c r="BG18" s="122"/>
      <c r="BH18" s="122"/>
      <c r="BI18" s="122"/>
      <c r="BJ18" s="122"/>
      <c r="BK18" s="122"/>
      <c r="BL18" s="123"/>
    </row>
    <row r="19" spans="2:64" s="341" customFormat="1" ht="15.75">
      <c r="B19" s="1563" t="s">
        <v>52</v>
      </c>
      <c r="C19" s="1564"/>
      <c r="D19" s="1019">
        <f>+D20+D27+D32+D43</f>
        <v>23005</v>
      </c>
      <c r="E19" s="125">
        <f aca="true" t="shared" si="2" ref="E19:AJ19">+E20+E27+E32+E43+E66</f>
        <v>4258.141331275723</v>
      </c>
      <c r="F19" s="125">
        <f t="shared" si="2"/>
        <v>4258.141331275723</v>
      </c>
      <c r="G19" s="125">
        <f t="shared" si="2"/>
        <v>3250.1925814814813</v>
      </c>
      <c r="H19" s="125">
        <f t="shared" si="2"/>
        <v>3000.442222222222</v>
      </c>
      <c r="I19" s="125">
        <f t="shared" si="2"/>
        <v>2249.8141703703704</v>
      </c>
      <c r="J19" s="125">
        <f t="shared" si="2"/>
        <v>2249.8141703703704</v>
      </c>
      <c r="K19" s="125">
        <f t="shared" si="2"/>
        <v>1500.1287703703704</v>
      </c>
      <c r="L19" s="125">
        <f t="shared" si="2"/>
        <v>1500.1287703703704</v>
      </c>
      <c r="M19" s="125">
        <f t="shared" si="2"/>
        <v>7557.938271604939</v>
      </c>
      <c r="N19" s="125">
        <f t="shared" si="2"/>
        <v>19186.228395061727</v>
      </c>
      <c r="O19" s="125">
        <f t="shared" si="2"/>
        <v>19586.228395061727</v>
      </c>
      <c r="P19" s="126">
        <f t="shared" si="2"/>
        <v>19786.228395061727</v>
      </c>
      <c r="Q19" s="124">
        <f t="shared" si="2"/>
        <v>32331.8</v>
      </c>
      <c r="R19" s="125">
        <f t="shared" si="2"/>
        <v>32731.8</v>
      </c>
      <c r="S19" s="125">
        <f t="shared" si="2"/>
        <v>33181.8</v>
      </c>
      <c r="T19" s="125">
        <f t="shared" si="2"/>
        <v>33361.8</v>
      </c>
      <c r="U19" s="125">
        <f t="shared" si="2"/>
        <v>33541.8</v>
      </c>
      <c r="V19" s="125">
        <f t="shared" si="2"/>
        <v>33721.8</v>
      </c>
      <c r="W19" s="125">
        <f t="shared" si="2"/>
        <v>33951.8</v>
      </c>
      <c r="X19" s="125">
        <f t="shared" si="2"/>
        <v>34131.8</v>
      </c>
      <c r="Y19" s="125">
        <f t="shared" si="2"/>
        <v>34361.8</v>
      </c>
      <c r="Z19" s="125">
        <f t="shared" si="2"/>
        <v>34541.8</v>
      </c>
      <c r="AA19" s="125">
        <f t="shared" si="2"/>
        <v>34771.8</v>
      </c>
      <c r="AB19" s="126">
        <f t="shared" si="2"/>
        <v>35001.8</v>
      </c>
      <c r="AC19" s="124">
        <f t="shared" si="2"/>
        <v>50699.90339506172</v>
      </c>
      <c r="AD19" s="125">
        <f t="shared" si="2"/>
        <v>50929.90339506172</v>
      </c>
      <c r="AE19" s="125">
        <f t="shared" si="2"/>
        <v>51209.90339506172</v>
      </c>
      <c r="AF19" s="125">
        <f t="shared" si="2"/>
        <v>51439.90339506172</v>
      </c>
      <c r="AG19" s="125">
        <f t="shared" si="2"/>
        <v>51719.90339506172</v>
      </c>
      <c r="AH19" s="125">
        <f t="shared" si="2"/>
        <v>51999.90339506172</v>
      </c>
      <c r="AI19" s="125">
        <f t="shared" si="2"/>
        <v>52279.90339506172</v>
      </c>
      <c r="AJ19" s="125">
        <f t="shared" si="2"/>
        <v>52559.90339506172</v>
      </c>
      <c r="AK19" s="125">
        <f aca="true" t="shared" si="3" ref="AK19:BL19">+AK20+AK27+AK32+AK43+AK66</f>
        <v>52889.90339506172</v>
      </c>
      <c r="AL19" s="125">
        <f t="shared" si="3"/>
        <v>53169.90339506172</v>
      </c>
      <c r="AM19" s="125">
        <f t="shared" si="3"/>
        <v>53549.90339506172</v>
      </c>
      <c r="AN19" s="126">
        <f t="shared" si="3"/>
        <v>53879.90339506172</v>
      </c>
      <c r="AO19" s="124">
        <f t="shared" si="3"/>
        <v>61076.125925925924</v>
      </c>
      <c r="AP19" s="125">
        <f t="shared" si="3"/>
        <v>61456.125925925924</v>
      </c>
      <c r="AQ19" s="125">
        <f t="shared" si="3"/>
        <v>61836.125925925924</v>
      </c>
      <c r="AR19" s="125">
        <f t="shared" si="3"/>
        <v>62266.125925925924</v>
      </c>
      <c r="AS19" s="125">
        <f t="shared" si="3"/>
        <v>62736.125925925924</v>
      </c>
      <c r="AT19" s="125">
        <f t="shared" si="3"/>
        <v>63206.125925925924</v>
      </c>
      <c r="AU19" s="125">
        <f t="shared" si="3"/>
        <v>63726.125925925924</v>
      </c>
      <c r="AV19" s="125">
        <f t="shared" si="3"/>
        <v>64296.125925925924</v>
      </c>
      <c r="AW19" s="125">
        <f t="shared" si="3"/>
        <v>64866.125925925924</v>
      </c>
      <c r="AX19" s="125">
        <f t="shared" si="3"/>
        <v>65436.125925925924</v>
      </c>
      <c r="AY19" s="125">
        <f t="shared" si="3"/>
        <v>66056.12592592592</v>
      </c>
      <c r="AZ19" s="126">
        <f t="shared" si="3"/>
        <v>66676.12592592592</v>
      </c>
      <c r="BA19" s="124">
        <f t="shared" si="3"/>
        <v>81567.37320987655</v>
      </c>
      <c r="BB19" s="125">
        <f t="shared" si="3"/>
        <v>82237.37320987655</v>
      </c>
      <c r="BC19" s="125">
        <f t="shared" si="3"/>
        <v>83007.37320987655</v>
      </c>
      <c r="BD19" s="125">
        <f t="shared" si="3"/>
        <v>83727.37320987655</v>
      </c>
      <c r="BE19" s="125">
        <f t="shared" si="3"/>
        <v>84637.37320987655</v>
      </c>
      <c r="BF19" s="125">
        <f t="shared" si="3"/>
        <v>85497.37320987655</v>
      </c>
      <c r="BG19" s="125">
        <f t="shared" si="3"/>
        <v>86457.37320987655</v>
      </c>
      <c r="BH19" s="125">
        <f t="shared" si="3"/>
        <v>87417.37320987655</v>
      </c>
      <c r="BI19" s="125">
        <f t="shared" si="3"/>
        <v>88477.37320987655</v>
      </c>
      <c r="BJ19" s="125">
        <f t="shared" si="3"/>
        <v>89537.37320987655</v>
      </c>
      <c r="BK19" s="125">
        <f t="shared" si="3"/>
        <v>90647.37320987655</v>
      </c>
      <c r="BL19" s="126">
        <f t="shared" si="3"/>
        <v>91857.37320987655</v>
      </c>
    </row>
    <row r="20" spans="2:64" s="341" customFormat="1" ht="15.75" outlineLevel="1">
      <c r="B20" s="1591" t="str">
        <f>+Assumptions!B80</f>
        <v>Marketing</v>
      </c>
      <c r="C20" s="1592"/>
      <c r="D20" s="1021">
        <f>+SUM(D21:D26)</f>
        <v>3799</v>
      </c>
      <c r="E20" s="343">
        <f aca="true" t="shared" si="4" ref="E20:BL20">+SUM(E21:E26)</f>
        <v>0</v>
      </c>
      <c r="F20" s="343">
        <f t="shared" si="4"/>
        <v>0</v>
      </c>
      <c r="G20" s="343">
        <f t="shared" si="4"/>
        <v>0</v>
      </c>
      <c r="H20" s="343">
        <f t="shared" si="4"/>
        <v>0</v>
      </c>
      <c r="I20" s="343">
        <f t="shared" si="4"/>
        <v>0</v>
      </c>
      <c r="J20" s="343">
        <f t="shared" si="4"/>
        <v>0</v>
      </c>
      <c r="K20" s="343">
        <f t="shared" si="4"/>
        <v>0</v>
      </c>
      <c r="L20" s="343">
        <f t="shared" si="4"/>
        <v>0</v>
      </c>
      <c r="M20" s="343">
        <f t="shared" si="4"/>
        <v>0</v>
      </c>
      <c r="N20" s="343">
        <f t="shared" si="4"/>
        <v>5800</v>
      </c>
      <c r="O20" s="343">
        <f t="shared" si="4"/>
        <v>6200</v>
      </c>
      <c r="P20" s="344">
        <f t="shared" si="4"/>
        <v>6400</v>
      </c>
      <c r="Q20" s="342">
        <f aca="true" t="shared" si="5" ref="Q20:AA20">+SUM(Q21:Q26)</f>
        <v>9083.333333333334</v>
      </c>
      <c r="R20" s="343">
        <f t="shared" si="5"/>
        <v>9483.333333333334</v>
      </c>
      <c r="S20" s="343">
        <f t="shared" si="5"/>
        <v>9933.333333333334</v>
      </c>
      <c r="T20" s="343">
        <f t="shared" si="5"/>
        <v>10113.333333333334</v>
      </c>
      <c r="U20" s="343">
        <f t="shared" si="5"/>
        <v>10293.333333333334</v>
      </c>
      <c r="V20" s="343">
        <f t="shared" si="5"/>
        <v>10473.333333333334</v>
      </c>
      <c r="W20" s="343">
        <f t="shared" si="5"/>
        <v>10703.333333333334</v>
      </c>
      <c r="X20" s="343">
        <f t="shared" si="5"/>
        <v>10883.333333333334</v>
      </c>
      <c r="Y20" s="343">
        <f t="shared" si="5"/>
        <v>11113.333333333334</v>
      </c>
      <c r="Z20" s="343">
        <f t="shared" si="5"/>
        <v>11293.333333333334</v>
      </c>
      <c r="AA20" s="343">
        <f t="shared" si="5"/>
        <v>11523.333333333334</v>
      </c>
      <c r="AB20" s="344">
        <f t="shared" si="4"/>
        <v>11753.333333333334</v>
      </c>
      <c r="AC20" s="342">
        <f aca="true" t="shared" si="6" ref="AC20:AM20">+SUM(AC21:AC26)</f>
        <v>15100</v>
      </c>
      <c r="AD20" s="343">
        <f t="shared" si="6"/>
        <v>15330</v>
      </c>
      <c r="AE20" s="343">
        <f t="shared" si="6"/>
        <v>15610</v>
      </c>
      <c r="AF20" s="343">
        <f t="shared" si="6"/>
        <v>15840</v>
      </c>
      <c r="AG20" s="343">
        <f t="shared" si="6"/>
        <v>16120</v>
      </c>
      <c r="AH20" s="343">
        <f t="shared" si="6"/>
        <v>16400</v>
      </c>
      <c r="AI20" s="343">
        <f t="shared" si="6"/>
        <v>16680</v>
      </c>
      <c r="AJ20" s="343">
        <f t="shared" si="6"/>
        <v>16960</v>
      </c>
      <c r="AK20" s="343">
        <f t="shared" si="6"/>
        <v>17290</v>
      </c>
      <c r="AL20" s="343">
        <f t="shared" si="6"/>
        <v>17570</v>
      </c>
      <c r="AM20" s="343">
        <f t="shared" si="6"/>
        <v>17950</v>
      </c>
      <c r="AN20" s="344">
        <f t="shared" si="4"/>
        <v>18280</v>
      </c>
      <c r="AO20" s="342">
        <f aca="true" t="shared" si="7" ref="AO20:AY20">+SUM(AO21:AO26)</f>
        <v>23075</v>
      </c>
      <c r="AP20" s="343">
        <f t="shared" si="7"/>
        <v>23455</v>
      </c>
      <c r="AQ20" s="343">
        <f t="shared" si="7"/>
        <v>23835</v>
      </c>
      <c r="AR20" s="343">
        <f t="shared" si="7"/>
        <v>24265</v>
      </c>
      <c r="AS20" s="343">
        <f t="shared" si="7"/>
        <v>24735</v>
      </c>
      <c r="AT20" s="343">
        <f t="shared" si="7"/>
        <v>25205</v>
      </c>
      <c r="AU20" s="343">
        <f t="shared" si="7"/>
        <v>25725</v>
      </c>
      <c r="AV20" s="343">
        <f t="shared" si="7"/>
        <v>26295</v>
      </c>
      <c r="AW20" s="343">
        <f t="shared" si="7"/>
        <v>26865</v>
      </c>
      <c r="AX20" s="343">
        <f t="shared" si="7"/>
        <v>27435</v>
      </c>
      <c r="AY20" s="343">
        <f t="shared" si="7"/>
        <v>28055</v>
      </c>
      <c r="AZ20" s="344">
        <f t="shared" si="4"/>
        <v>28675</v>
      </c>
      <c r="BA20" s="342">
        <f aca="true" t="shared" si="8" ref="BA20:BK20">+SUM(BA21:BA26)</f>
        <v>36005.5</v>
      </c>
      <c r="BB20" s="343">
        <f t="shared" si="8"/>
        <v>36675.5</v>
      </c>
      <c r="BC20" s="343">
        <f t="shared" si="8"/>
        <v>37445.5</v>
      </c>
      <c r="BD20" s="343">
        <f t="shared" si="8"/>
        <v>38165.5</v>
      </c>
      <c r="BE20" s="343">
        <f t="shared" si="8"/>
        <v>39075.5</v>
      </c>
      <c r="BF20" s="343">
        <f t="shared" si="8"/>
        <v>39935.5</v>
      </c>
      <c r="BG20" s="343">
        <f t="shared" si="8"/>
        <v>40895.5</v>
      </c>
      <c r="BH20" s="343">
        <f t="shared" si="8"/>
        <v>41855.5</v>
      </c>
      <c r="BI20" s="343">
        <f t="shared" si="8"/>
        <v>42915.5</v>
      </c>
      <c r="BJ20" s="343">
        <f t="shared" si="8"/>
        <v>43975.5</v>
      </c>
      <c r="BK20" s="343">
        <f t="shared" si="8"/>
        <v>45085.5</v>
      </c>
      <c r="BL20" s="344">
        <f t="shared" si="4"/>
        <v>46295.5</v>
      </c>
    </row>
    <row r="21" spans="2:64" s="341" customFormat="1" ht="25.95" customHeight="1" outlineLevel="2">
      <c r="B21" s="288" t="str">
        <f>+Assumptions!B81</f>
        <v>Cost for advertising online</v>
      </c>
      <c r="C21" s="345"/>
      <c r="D21" s="1020">
        <f>+Assumptions!C81</f>
        <v>3799</v>
      </c>
      <c r="E21" s="227">
        <f>(('Revenue Funnel'!D16*Assumptions!$D$44)+('Revenue Funnel'!D18*Assumptions!$D$45))*Assumptions!$D$48</f>
        <v>0</v>
      </c>
      <c r="F21" s="122">
        <f>(('Revenue Funnel'!E16*Assumptions!$D$44)+('Revenue Funnel'!E18*Assumptions!$D$45))*Assumptions!$D$48</f>
        <v>0</v>
      </c>
      <c r="G21" s="122">
        <f>(('Revenue Funnel'!F16*Assumptions!$D$44)+('Revenue Funnel'!F18*Assumptions!$D$45))*Assumptions!$D$48</f>
        <v>0</v>
      </c>
      <c r="H21" s="122">
        <f>(('Revenue Funnel'!G16*Assumptions!$D$44)+('Revenue Funnel'!G18*Assumptions!$D$45))*Assumptions!$D$48</f>
        <v>0</v>
      </c>
      <c r="I21" s="122">
        <f>(('Revenue Funnel'!H16*Assumptions!$D$44)+('Revenue Funnel'!H18*Assumptions!$D$45))*Assumptions!$D$48</f>
        <v>0</v>
      </c>
      <c r="J21" s="122">
        <f>(('Revenue Funnel'!I16*Assumptions!$D$44)+('Revenue Funnel'!I18*Assumptions!$D$45))*Assumptions!$D$48</f>
        <v>0</v>
      </c>
      <c r="K21" s="122">
        <f>(('Revenue Funnel'!J16*Assumptions!$D$44)+('Revenue Funnel'!J18*Assumptions!$D$45))*Assumptions!$D$48</f>
        <v>0</v>
      </c>
      <c r="L21" s="122">
        <f>(('Revenue Funnel'!K16*Assumptions!$D$44)+('Revenue Funnel'!K18*Assumptions!$D$45))*Assumptions!$D$48</f>
        <v>0</v>
      </c>
      <c r="M21" s="122">
        <f>(('Revenue Funnel'!L16*Assumptions!$D$44)+('Revenue Funnel'!L18*Assumptions!$D$45))*Assumptions!$D$48</f>
        <v>0</v>
      </c>
      <c r="N21" s="122">
        <f>(('Revenue Funnel'!M16*Assumptions!$D$44)+('Revenue Funnel'!M18*Assumptions!$D$45))*Assumptions!$D$48</f>
        <v>800</v>
      </c>
      <c r="O21" s="122">
        <f>(('Revenue Funnel'!N16*Assumptions!$D$44)+('Revenue Funnel'!N18*Assumptions!$D$45))*Assumptions!$D$48</f>
        <v>1200</v>
      </c>
      <c r="P21" s="123">
        <f>(('Revenue Funnel'!O16*Assumptions!$D$44)+('Revenue Funnel'!O18*Assumptions!$D$45))*Assumptions!$D$48</f>
        <v>1400</v>
      </c>
      <c r="Q21" s="121">
        <f>(('Revenue Funnel'!P16*Assumptions!$D$44)+('Revenue Funnel'!P18*Assumptions!$D$45))*Assumptions!$D$48</f>
        <v>3250</v>
      </c>
      <c r="R21" s="122">
        <f>(('Revenue Funnel'!Q16*Assumptions!$D$44)+('Revenue Funnel'!Q18*Assumptions!$D$45))*Assumptions!$D$48</f>
        <v>3650</v>
      </c>
      <c r="S21" s="122">
        <f>(('Revenue Funnel'!R16*Assumptions!$D$44)+('Revenue Funnel'!R18*Assumptions!$D$45))*Assumptions!$D$48</f>
        <v>4100</v>
      </c>
      <c r="T21" s="122">
        <f>(('Revenue Funnel'!S16*Assumptions!$D$44)+('Revenue Funnel'!S18*Assumptions!$D$45))*Assumptions!$D$48</f>
        <v>4280</v>
      </c>
      <c r="U21" s="122">
        <f>(('Revenue Funnel'!T16*Assumptions!$D$44)+('Revenue Funnel'!T18*Assumptions!$D$45))*Assumptions!$D$48</f>
        <v>4460</v>
      </c>
      <c r="V21" s="122">
        <f>(('Revenue Funnel'!U16*Assumptions!$D$44)+('Revenue Funnel'!U18*Assumptions!$D$45))*Assumptions!$D$48</f>
        <v>4640</v>
      </c>
      <c r="W21" s="122">
        <f>(('Revenue Funnel'!V16*Assumptions!$D$44)+('Revenue Funnel'!V18*Assumptions!$D$45))*Assumptions!$D$48</f>
        <v>4870</v>
      </c>
      <c r="X21" s="122">
        <f>(('Revenue Funnel'!W16*Assumptions!$D$44)+('Revenue Funnel'!W18*Assumptions!$D$45))*Assumptions!$D$48</f>
        <v>5050</v>
      </c>
      <c r="Y21" s="122">
        <f>(('Revenue Funnel'!X16*Assumptions!$D$44)+('Revenue Funnel'!X18*Assumptions!$D$45))*Assumptions!$D$48</f>
        <v>5280</v>
      </c>
      <c r="Z21" s="122">
        <f>(('Revenue Funnel'!Y16*Assumptions!$D$44)+('Revenue Funnel'!Y18*Assumptions!$D$45))*Assumptions!$D$48</f>
        <v>5460</v>
      </c>
      <c r="AA21" s="122">
        <f>(('Revenue Funnel'!Z16*Assumptions!$D$44)+('Revenue Funnel'!Z18*Assumptions!$D$45))*Assumptions!$D$48</f>
        <v>5690</v>
      </c>
      <c r="AB21" s="123">
        <f>(('Revenue Funnel'!AA16*Assumptions!$D$44)+('Revenue Funnel'!AA18*Assumptions!$D$45))*Assumptions!$D$48</f>
        <v>5920</v>
      </c>
      <c r="AC21" s="121">
        <f>(('Revenue Funnel'!AB16*Assumptions!$D$44)+('Revenue Funnel'!AB18*Assumptions!$D$45))*Assumptions!$D$48</f>
        <v>6150</v>
      </c>
      <c r="AD21" s="122">
        <f>(('Revenue Funnel'!AC16*Assumptions!$D$44)+('Revenue Funnel'!AC18*Assumptions!$D$45))*Assumptions!$D$48</f>
        <v>6380</v>
      </c>
      <c r="AE21" s="122">
        <f>(('Revenue Funnel'!AD16*Assumptions!$D$44)+('Revenue Funnel'!AD18*Assumptions!$D$45))*Assumptions!$D$48</f>
        <v>6660</v>
      </c>
      <c r="AF21" s="122">
        <f>(('Revenue Funnel'!AE16*Assumptions!$D$44)+('Revenue Funnel'!AE18*Assumptions!$D$45))*Assumptions!$D$48</f>
        <v>6890</v>
      </c>
      <c r="AG21" s="122">
        <f>(('Revenue Funnel'!AF16*Assumptions!$D$44)+('Revenue Funnel'!AF18*Assumptions!$D$45))*Assumptions!$D$48</f>
        <v>7170</v>
      </c>
      <c r="AH21" s="122">
        <f>(('Revenue Funnel'!AG16*Assumptions!$D$44)+('Revenue Funnel'!AG18*Assumptions!$D$45))*Assumptions!$D$48</f>
        <v>7450</v>
      </c>
      <c r="AI21" s="122">
        <f>(('Revenue Funnel'!AH16*Assumptions!$D$44)+('Revenue Funnel'!AH18*Assumptions!$D$45))*Assumptions!$D$48</f>
        <v>7730</v>
      </c>
      <c r="AJ21" s="122">
        <f>(('Revenue Funnel'!AI16*Assumptions!$D$44)+('Revenue Funnel'!AI18*Assumptions!$D$45))*Assumptions!$D$48</f>
        <v>8010</v>
      </c>
      <c r="AK21" s="122">
        <f>(('Revenue Funnel'!AJ16*Assumptions!$D$44)+('Revenue Funnel'!AJ18*Assumptions!$D$45))*Assumptions!$D$48</f>
        <v>8340</v>
      </c>
      <c r="AL21" s="122">
        <f>(('Revenue Funnel'!AK16*Assumptions!$D$44)+('Revenue Funnel'!AK18*Assumptions!$D$45))*Assumptions!$D$48</f>
        <v>8620</v>
      </c>
      <c r="AM21" s="122">
        <f>(('Revenue Funnel'!AL16*Assumptions!$D$44)+('Revenue Funnel'!AL18*Assumptions!$D$45))*Assumptions!$D$48</f>
        <v>9000</v>
      </c>
      <c r="AN21" s="123">
        <f>(('Revenue Funnel'!AM16*Assumptions!$D$44)+('Revenue Funnel'!AM18*Assumptions!$D$45))*Assumptions!$D$48</f>
        <v>9330</v>
      </c>
      <c r="AO21" s="121">
        <f>(('Revenue Funnel'!AN16*Assumptions!$D$44)+('Revenue Funnel'!AN18*Assumptions!$D$45))*Assumptions!$D$48</f>
        <v>9710</v>
      </c>
      <c r="AP21" s="122">
        <f>(('Revenue Funnel'!AO16*Assumptions!$D$44)+('Revenue Funnel'!AO18*Assumptions!$D$45))*Assumptions!$D$48</f>
        <v>10090</v>
      </c>
      <c r="AQ21" s="122">
        <f>(('Revenue Funnel'!AP16*Assumptions!$D$44)+('Revenue Funnel'!AP18*Assumptions!$D$45))*Assumptions!$D$48</f>
        <v>10470</v>
      </c>
      <c r="AR21" s="122">
        <f>(('Revenue Funnel'!AQ16*Assumptions!$D$44)+('Revenue Funnel'!AQ18*Assumptions!$D$45))*Assumptions!$D$48</f>
        <v>10900</v>
      </c>
      <c r="AS21" s="122">
        <f>(('Revenue Funnel'!AR16*Assumptions!$D$44)+('Revenue Funnel'!AR18*Assumptions!$D$45))*Assumptions!$D$48</f>
        <v>11370</v>
      </c>
      <c r="AT21" s="122">
        <f>(('Revenue Funnel'!AS16*Assumptions!$D$44)+('Revenue Funnel'!AS18*Assumptions!$D$45))*Assumptions!$D$48</f>
        <v>11840</v>
      </c>
      <c r="AU21" s="122">
        <f>(('Revenue Funnel'!AT16*Assumptions!$D$44)+('Revenue Funnel'!AT18*Assumptions!$D$45))*Assumptions!$D$48</f>
        <v>12360</v>
      </c>
      <c r="AV21" s="122">
        <f>(('Revenue Funnel'!AU16*Assumptions!$D$44)+('Revenue Funnel'!AU18*Assumptions!$D$45))*Assumptions!$D$48</f>
        <v>12930</v>
      </c>
      <c r="AW21" s="122">
        <f>(('Revenue Funnel'!AV16*Assumptions!$D$44)+('Revenue Funnel'!AV18*Assumptions!$D$45))*Assumptions!$D$48</f>
        <v>13500</v>
      </c>
      <c r="AX21" s="122">
        <f>(('Revenue Funnel'!AW16*Assumptions!$D$44)+('Revenue Funnel'!AW18*Assumptions!$D$45))*Assumptions!$D$48</f>
        <v>14070</v>
      </c>
      <c r="AY21" s="122">
        <f>(('Revenue Funnel'!AX16*Assumptions!$D$44)+('Revenue Funnel'!AX18*Assumptions!$D$45))*Assumptions!$D$48</f>
        <v>14690</v>
      </c>
      <c r="AZ21" s="123">
        <f>(('Revenue Funnel'!AY16*Assumptions!$D$44)+('Revenue Funnel'!AY18*Assumptions!$D$45))*Assumptions!$D$48</f>
        <v>15310</v>
      </c>
      <c r="BA21" s="121">
        <f>(('Revenue Funnel'!AZ16*Assumptions!$D$44)+('Revenue Funnel'!AZ18*Assumptions!$D$45))*Assumptions!$D$48</f>
        <v>16030</v>
      </c>
      <c r="BB21" s="122">
        <f>(('Revenue Funnel'!BA16*Assumptions!$D$44)+('Revenue Funnel'!BA18*Assumptions!$D$45))*Assumptions!$D$48</f>
        <v>16700</v>
      </c>
      <c r="BC21" s="122">
        <f>(('Revenue Funnel'!BB16*Assumptions!$D$44)+('Revenue Funnel'!BB18*Assumptions!$D$45))*Assumptions!$D$48</f>
        <v>17470</v>
      </c>
      <c r="BD21" s="122">
        <f>(('Revenue Funnel'!BC16*Assumptions!$D$44)+('Revenue Funnel'!BC18*Assumptions!$D$45))*Assumptions!$D$48</f>
        <v>18190</v>
      </c>
      <c r="BE21" s="122">
        <f>(('Revenue Funnel'!BD16*Assumptions!$D$44)+('Revenue Funnel'!BD18*Assumptions!$D$45))*Assumptions!$D$48</f>
        <v>19100</v>
      </c>
      <c r="BF21" s="122">
        <f>(('Revenue Funnel'!BE16*Assumptions!$D$44)+('Revenue Funnel'!BE18*Assumptions!$D$45))*Assumptions!$D$48</f>
        <v>19960</v>
      </c>
      <c r="BG21" s="122">
        <f>(('Revenue Funnel'!BF16*Assumptions!$D$44)+('Revenue Funnel'!BF18*Assumptions!$D$45))*Assumptions!$D$48</f>
        <v>20920</v>
      </c>
      <c r="BH21" s="122">
        <f>(('Revenue Funnel'!BG16*Assumptions!$D$44)+('Revenue Funnel'!BG18*Assumptions!$D$45))*Assumptions!$D$48</f>
        <v>21880</v>
      </c>
      <c r="BI21" s="122">
        <f>(('Revenue Funnel'!BH16*Assumptions!$D$44)+('Revenue Funnel'!BH18*Assumptions!$D$45))*Assumptions!$D$48</f>
        <v>22940</v>
      </c>
      <c r="BJ21" s="122">
        <f>(('Revenue Funnel'!BI16*Assumptions!$D$44)+('Revenue Funnel'!BI18*Assumptions!$D$45))*Assumptions!$D$48</f>
        <v>24000</v>
      </c>
      <c r="BK21" s="122">
        <f>(('Revenue Funnel'!BJ16*Assumptions!$D$44)+('Revenue Funnel'!BJ18*Assumptions!$D$45))*Assumptions!$D$48</f>
        <v>25110</v>
      </c>
      <c r="BL21" s="123">
        <f>(('Revenue Funnel'!BK16*Assumptions!$D$44)+('Revenue Funnel'!BK18*Assumptions!$D$45))*Assumptions!$D$48</f>
        <v>26320</v>
      </c>
    </row>
    <row r="22" spans="2:64" s="341" customFormat="1" ht="25.95" customHeight="1" outlineLevel="2">
      <c r="B22" s="288" t="str">
        <f>+Assumptions!B82</f>
        <v>Marketing Budget Shop</v>
      </c>
      <c r="C22" s="345"/>
      <c r="D22" s="1020">
        <v>0</v>
      </c>
      <c r="E22" s="227">
        <v>0</v>
      </c>
      <c r="F22" s="122">
        <v>0</v>
      </c>
      <c r="G22" s="122">
        <v>0</v>
      </c>
      <c r="H22" s="122">
        <v>0</v>
      </c>
      <c r="I22" s="122">
        <v>0</v>
      </c>
      <c r="J22" s="122">
        <v>0</v>
      </c>
      <c r="K22" s="122">
        <v>0</v>
      </c>
      <c r="L22" s="122">
        <v>0</v>
      </c>
      <c r="M22" s="122">
        <v>0</v>
      </c>
      <c r="N22" s="122">
        <f>+Assumptions!$D82/3</f>
        <v>5000</v>
      </c>
      <c r="O22" s="122">
        <f>+Assumptions!$D82/3</f>
        <v>5000</v>
      </c>
      <c r="P22" s="123">
        <f>+Assumptions!$D82/3</f>
        <v>5000</v>
      </c>
      <c r="Q22" s="121">
        <f>+Assumptions!$E82/12</f>
        <v>5000</v>
      </c>
      <c r="R22" s="122">
        <f>+Assumptions!$E82/12</f>
        <v>5000</v>
      </c>
      <c r="S22" s="122">
        <f>+Assumptions!$E82/12</f>
        <v>5000</v>
      </c>
      <c r="T22" s="122">
        <f>+Assumptions!$E82/12</f>
        <v>5000</v>
      </c>
      <c r="U22" s="122">
        <f>+Assumptions!$E82/12</f>
        <v>5000</v>
      </c>
      <c r="V22" s="122">
        <f>+Assumptions!$E82/12</f>
        <v>5000</v>
      </c>
      <c r="W22" s="122">
        <f>+Assumptions!$E82/12</f>
        <v>5000</v>
      </c>
      <c r="X22" s="122">
        <f>+Assumptions!$E82/12</f>
        <v>5000</v>
      </c>
      <c r="Y22" s="122">
        <f>+Assumptions!$E82/12</f>
        <v>5000</v>
      </c>
      <c r="Z22" s="122">
        <f>+Assumptions!$E82/12</f>
        <v>5000</v>
      </c>
      <c r="AA22" s="122">
        <f>+Assumptions!$E82/12</f>
        <v>5000</v>
      </c>
      <c r="AB22" s="123">
        <f>+Assumptions!$E82/12</f>
        <v>5000</v>
      </c>
      <c r="AC22" s="121">
        <f>+Assumptions!$F82/12</f>
        <v>7500</v>
      </c>
      <c r="AD22" s="122">
        <f>+Assumptions!$F82/12</f>
        <v>7500</v>
      </c>
      <c r="AE22" s="122">
        <f>+Assumptions!$F82/12</f>
        <v>7500</v>
      </c>
      <c r="AF22" s="122">
        <f>+Assumptions!$F82/12</f>
        <v>7500</v>
      </c>
      <c r="AG22" s="122">
        <f>+Assumptions!$F82/12</f>
        <v>7500</v>
      </c>
      <c r="AH22" s="122">
        <f>+Assumptions!$F82/12</f>
        <v>7500</v>
      </c>
      <c r="AI22" s="122">
        <f>+Assumptions!$F82/12</f>
        <v>7500</v>
      </c>
      <c r="AJ22" s="122">
        <f>+Assumptions!$F82/12</f>
        <v>7500</v>
      </c>
      <c r="AK22" s="122">
        <f>+Assumptions!$F82/12</f>
        <v>7500</v>
      </c>
      <c r="AL22" s="122">
        <f>+Assumptions!$F82/12</f>
        <v>7500</v>
      </c>
      <c r="AM22" s="122">
        <f>+Assumptions!$F82/12</f>
        <v>7500</v>
      </c>
      <c r="AN22" s="123">
        <f>+Assumptions!$F82/12</f>
        <v>7500</v>
      </c>
      <c r="AO22" s="121">
        <f>+Assumptions!$G82/12</f>
        <v>11250</v>
      </c>
      <c r="AP22" s="122">
        <f>+Assumptions!$G82/12</f>
        <v>11250</v>
      </c>
      <c r="AQ22" s="122">
        <f>+Assumptions!$G82/12</f>
        <v>11250</v>
      </c>
      <c r="AR22" s="122">
        <f>+Assumptions!$G82/12</f>
        <v>11250</v>
      </c>
      <c r="AS22" s="122">
        <f>+Assumptions!$G82/12</f>
        <v>11250</v>
      </c>
      <c r="AT22" s="122">
        <f>+Assumptions!$G82/12</f>
        <v>11250</v>
      </c>
      <c r="AU22" s="122">
        <f>+Assumptions!$G82/12</f>
        <v>11250</v>
      </c>
      <c r="AV22" s="122">
        <f>+Assumptions!$G82/12</f>
        <v>11250</v>
      </c>
      <c r="AW22" s="122">
        <f>+Assumptions!$G82/12</f>
        <v>11250</v>
      </c>
      <c r="AX22" s="122">
        <f>+Assumptions!$G82/12</f>
        <v>11250</v>
      </c>
      <c r="AY22" s="122">
        <f>+Assumptions!$G82/12</f>
        <v>11250</v>
      </c>
      <c r="AZ22" s="123">
        <f>+Assumptions!$G82/12</f>
        <v>11250</v>
      </c>
      <c r="BA22" s="121">
        <f>+Assumptions!$H82/12</f>
        <v>16875</v>
      </c>
      <c r="BB22" s="122">
        <f>+Assumptions!$H82/12</f>
        <v>16875</v>
      </c>
      <c r="BC22" s="122">
        <f>+Assumptions!$H82/12</f>
        <v>16875</v>
      </c>
      <c r="BD22" s="122">
        <f>+Assumptions!$H82/12</f>
        <v>16875</v>
      </c>
      <c r="BE22" s="122">
        <f>+Assumptions!$H82/12</f>
        <v>16875</v>
      </c>
      <c r="BF22" s="122">
        <f>+Assumptions!$H82/12</f>
        <v>16875</v>
      </c>
      <c r="BG22" s="122">
        <f>+Assumptions!$H82/12</f>
        <v>16875</v>
      </c>
      <c r="BH22" s="122">
        <f>+Assumptions!$H82/12</f>
        <v>16875</v>
      </c>
      <c r="BI22" s="122">
        <f>+Assumptions!$H82/12</f>
        <v>16875</v>
      </c>
      <c r="BJ22" s="122">
        <f>+Assumptions!$H82/12</f>
        <v>16875</v>
      </c>
      <c r="BK22" s="122">
        <f>+Assumptions!$H82/12</f>
        <v>16875</v>
      </c>
      <c r="BL22" s="123">
        <f>+Assumptions!$H82/12</f>
        <v>16875</v>
      </c>
    </row>
    <row r="23" spans="2:64" s="341" customFormat="1" ht="25.95" customHeight="1" outlineLevel="2">
      <c r="B23" s="288" t="str">
        <f>+Assumptions!B83</f>
        <v>Ads for Booking</v>
      </c>
      <c r="C23" s="345"/>
      <c r="D23" s="1020">
        <v>0</v>
      </c>
      <c r="E23" s="227">
        <f>(1-Assumptions!$D$20)*'Revenue Funnel'!D9</f>
        <v>0</v>
      </c>
      <c r="F23" s="122">
        <f>(1-Assumptions!$D$20)*'Revenue Funnel'!E9</f>
        <v>0</v>
      </c>
      <c r="G23" s="122">
        <f>(1-Assumptions!$D$20)*'Revenue Funnel'!F9</f>
        <v>0</v>
      </c>
      <c r="H23" s="122">
        <f>(1-Assumptions!$D$20)*'Revenue Funnel'!G9</f>
        <v>0</v>
      </c>
      <c r="I23" s="122">
        <f>(1-Assumptions!$D$20)*'Revenue Funnel'!H9</f>
        <v>0</v>
      </c>
      <c r="J23" s="122">
        <f>(1-Assumptions!$D$20)*'Revenue Funnel'!I9</f>
        <v>0</v>
      </c>
      <c r="K23" s="122">
        <f>(1-Assumptions!$D$20)*'Revenue Funnel'!J9</f>
        <v>0</v>
      </c>
      <c r="L23" s="122">
        <f>(1-Assumptions!$D$20)*'Revenue Funnel'!K9</f>
        <v>0</v>
      </c>
      <c r="M23" s="122">
        <f>(1-Assumptions!$D$20)*'Revenue Funnel'!L9</f>
        <v>0</v>
      </c>
      <c r="N23" s="122">
        <f>(1-Assumptions!$D$20)*'Revenue Funnel'!M9</f>
        <v>0</v>
      </c>
      <c r="O23" s="122">
        <f>(1-Assumptions!$D$20)*'Revenue Funnel'!N9</f>
        <v>0</v>
      </c>
      <c r="P23" s="123">
        <f>(1-Assumptions!$D$20)*'Revenue Funnel'!O9</f>
        <v>0</v>
      </c>
      <c r="Q23" s="121">
        <f>(1-Assumptions!$D$20)*'Revenue Funnel'!P9</f>
        <v>0</v>
      </c>
      <c r="R23" s="122">
        <f>(1-Assumptions!$D$20)*'Revenue Funnel'!Q9</f>
        <v>0</v>
      </c>
      <c r="S23" s="122">
        <f>(1-Assumptions!$D$20)*'Revenue Funnel'!R9</f>
        <v>0</v>
      </c>
      <c r="T23" s="122">
        <f>(1-Assumptions!$D$20)*'Revenue Funnel'!S9</f>
        <v>0</v>
      </c>
      <c r="U23" s="122">
        <f>(1-Assumptions!$D$20)*'Revenue Funnel'!T9</f>
        <v>0</v>
      </c>
      <c r="V23" s="122">
        <f>(1-Assumptions!$D$20)*'Revenue Funnel'!U9</f>
        <v>0</v>
      </c>
      <c r="W23" s="122">
        <f>(1-Assumptions!$D$20)*'Revenue Funnel'!V9</f>
        <v>0</v>
      </c>
      <c r="X23" s="122">
        <f>(1-Assumptions!$D$20)*'Revenue Funnel'!W9</f>
        <v>0</v>
      </c>
      <c r="Y23" s="122">
        <f>(1-Assumptions!$D$20)*'Revenue Funnel'!X9</f>
        <v>0</v>
      </c>
      <c r="Z23" s="122">
        <f>(1-Assumptions!$D$20)*'Revenue Funnel'!Y9</f>
        <v>0</v>
      </c>
      <c r="AA23" s="122">
        <f>(1-Assumptions!$D$20)*'Revenue Funnel'!Z9</f>
        <v>0</v>
      </c>
      <c r="AB23" s="123">
        <f>(1-Assumptions!$D$20)*'Revenue Funnel'!AA9</f>
        <v>0</v>
      </c>
      <c r="AC23" s="121">
        <f>(1-Assumptions!$D$20)*'Revenue Funnel'!AB9</f>
        <v>199.99999999999994</v>
      </c>
      <c r="AD23" s="122">
        <f>(1-Assumptions!$D$20)*'Revenue Funnel'!AC9</f>
        <v>199.99999999999994</v>
      </c>
      <c r="AE23" s="122">
        <f>(1-Assumptions!$D$20)*'Revenue Funnel'!AD9</f>
        <v>199.99999999999994</v>
      </c>
      <c r="AF23" s="122">
        <f>(1-Assumptions!$D$20)*'Revenue Funnel'!AE9</f>
        <v>199.99999999999994</v>
      </c>
      <c r="AG23" s="122">
        <f>(1-Assumptions!$D$20)*'Revenue Funnel'!AF9</f>
        <v>199.99999999999994</v>
      </c>
      <c r="AH23" s="122">
        <f>(1-Assumptions!$D$20)*'Revenue Funnel'!AG9</f>
        <v>199.99999999999994</v>
      </c>
      <c r="AI23" s="122">
        <f>(1-Assumptions!$D$20)*'Revenue Funnel'!AH9</f>
        <v>199.99999999999994</v>
      </c>
      <c r="AJ23" s="122">
        <f>(1-Assumptions!$D$20)*'Revenue Funnel'!AI9</f>
        <v>199.99999999999994</v>
      </c>
      <c r="AK23" s="122">
        <f>(1-Assumptions!$D$20)*'Revenue Funnel'!AJ9</f>
        <v>199.99999999999994</v>
      </c>
      <c r="AL23" s="122">
        <f>(1-Assumptions!$D$20)*'Revenue Funnel'!AK9</f>
        <v>199.99999999999994</v>
      </c>
      <c r="AM23" s="122">
        <f>(1-Assumptions!$D$20)*'Revenue Funnel'!AL9</f>
        <v>199.99999999999994</v>
      </c>
      <c r="AN23" s="123">
        <f>(1-Assumptions!$D$20)*'Revenue Funnel'!AM9</f>
        <v>199.99999999999994</v>
      </c>
      <c r="AO23" s="121">
        <f>(1-Assumptions!$D$20)*'Revenue Funnel'!AN9</f>
        <v>239.99999999999994</v>
      </c>
      <c r="AP23" s="122">
        <f>(1-Assumptions!$D$20)*'Revenue Funnel'!AO9</f>
        <v>239.99999999999994</v>
      </c>
      <c r="AQ23" s="122">
        <f>(1-Assumptions!$D$20)*'Revenue Funnel'!AP9</f>
        <v>239.99999999999994</v>
      </c>
      <c r="AR23" s="122">
        <f>(1-Assumptions!$D$20)*'Revenue Funnel'!AQ9</f>
        <v>239.99999999999994</v>
      </c>
      <c r="AS23" s="122">
        <f>(1-Assumptions!$D$20)*'Revenue Funnel'!AR9</f>
        <v>239.99999999999994</v>
      </c>
      <c r="AT23" s="122">
        <f>(1-Assumptions!$D$20)*'Revenue Funnel'!AS9</f>
        <v>239.99999999999994</v>
      </c>
      <c r="AU23" s="122">
        <f>(1-Assumptions!$D$20)*'Revenue Funnel'!AT9</f>
        <v>239.99999999999994</v>
      </c>
      <c r="AV23" s="122">
        <f>(1-Assumptions!$D$20)*'Revenue Funnel'!AU9</f>
        <v>239.99999999999994</v>
      </c>
      <c r="AW23" s="122">
        <f>(1-Assumptions!$D$20)*'Revenue Funnel'!AV9</f>
        <v>239.99999999999994</v>
      </c>
      <c r="AX23" s="122">
        <f>(1-Assumptions!$D$20)*'Revenue Funnel'!AW9</f>
        <v>239.99999999999994</v>
      </c>
      <c r="AY23" s="122">
        <f>(1-Assumptions!$D$20)*'Revenue Funnel'!AX9</f>
        <v>239.99999999999994</v>
      </c>
      <c r="AZ23" s="123">
        <f>(1-Assumptions!$D$20)*'Revenue Funnel'!AY9</f>
        <v>239.99999999999994</v>
      </c>
      <c r="BA23" s="121">
        <f>(1-Assumptions!$D$20)*'Revenue Funnel'!AZ9</f>
        <v>287.99999999999994</v>
      </c>
      <c r="BB23" s="122">
        <f>(1-Assumptions!$D$20)*'Revenue Funnel'!BA9</f>
        <v>287.99999999999994</v>
      </c>
      <c r="BC23" s="122">
        <f>(1-Assumptions!$D$20)*'Revenue Funnel'!BB9</f>
        <v>287.99999999999994</v>
      </c>
      <c r="BD23" s="122">
        <f>(1-Assumptions!$D$20)*'Revenue Funnel'!BC9</f>
        <v>287.99999999999994</v>
      </c>
      <c r="BE23" s="122">
        <f>(1-Assumptions!$D$20)*'Revenue Funnel'!BD9</f>
        <v>287.99999999999994</v>
      </c>
      <c r="BF23" s="122">
        <f>(1-Assumptions!$D$20)*'Revenue Funnel'!BE9</f>
        <v>287.99999999999994</v>
      </c>
      <c r="BG23" s="122">
        <f>(1-Assumptions!$D$20)*'Revenue Funnel'!BF9</f>
        <v>287.99999999999994</v>
      </c>
      <c r="BH23" s="122">
        <f>(1-Assumptions!$D$20)*'Revenue Funnel'!BG9</f>
        <v>287.99999999999994</v>
      </c>
      <c r="BI23" s="122">
        <f>(1-Assumptions!$D$20)*'Revenue Funnel'!BH9</f>
        <v>287.99999999999994</v>
      </c>
      <c r="BJ23" s="122">
        <f>(1-Assumptions!$D$20)*'Revenue Funnel'!BI9</f>
        <v>287.99999999999994</v>
      </c>
      <c r="BK23" s="122">
        <f>(1-Assumptions!$D$20)*'Revenue Funnel'!BJ9</f>
        <v>287.99999999999994</v>
      </c>
      <c r="BL23" s="123">
        <f>(1-Assumptions!$D$20)*'Revenue Funnel'!BK9</f>
        <v>287.99999999999994</v>
      </c>
    </row>
    <row r="24" spans="2:64" s="341" customFormat="1" ht="25.95" customHeight="1" outlineLevel="2">
      <c r="B24" s="288" t="str">
        <f>+Assumptions!B84</f>
        <v>Events and PR</v>
      </c>
      <c r="C24" s="345"/>
      <c r="D24" s="1020">
        <v>0</v>
      </c>
      <c r="E24" s="227">
        <f>+Assumptions!$D84/12</f>
        <v>0</v>
      </c>
      <c r="F24" s="122">
        <f>+Assumptions!$D84/12</f>
        <v>0</v>
      </c>
      <c r="G24" s="122">
        <f>+Assumptions!$D84/12</f>
        <v>0</v>
      </c>
      <c r="H24" s="122">
        <f>+Assumptions!$D84/12</f>
        <v>0</v>
      </c>
      <c r="I24" s="122">
        <f>+Assumptions!$D84/12</f>
        <v>0</v>
      </c>
      <c r="J24" s="122">
        <f>+Assumptions!$D84/12</f>
        <v>0</v>
      </c>
      <c r="K24" s="122">
        <f>+Assumptions!$D84/12</f>
        <v>0</v>
      </c>
      <c r="L24" s="122">
        <f>+Assumptions!$D84/12</f>
        <v>0</v>
      </c>
      <c r="M24" s="122">
        <f>+Assumptions!$D84/12</f>
        <v>0</v>
      </c>
      <c r="N24" s="122">
        <f>+Assumptions!$D84/12</f>
        <v>0</v>
      </c>
      <c r="O24" s="122">
        <f>+Assumptions!$D84/12</f>
        <v>0</v>
      </c>
      <c r="P24" s="123">
        <f>+Assumptions!$D84/12</f>
        <v>0</v>
      </c>
      <c r="Q24" s="121">
        <f>+Assumptions!$E84/12</f>
        <v>833.3333333333334</v>
      </c>
      <c r="R24" s="122">
        <f>+Assumptions!$E84/12</f>
        <v>833.3333333333334</v>
      </c>
      <c r="S24" s="122">
        <f>+Assumptions!$E84/12</f>
        <v>833.3333333333334</v>
      </c>
      <c r="T24" s="122">
        <f>+Assumptions!$E84/12</f>
        <v>833.3333333333334</v>
      </c>
      <c r="U24" s="122">
        <f>+Assumptions!$E84/12</f>
        <v>833.3333333333334</v>
      </c>
      <c r="V24" s="122">
        <f>+Assumptions!$E84/12</f>
        <v>833.3333333333334</v>
      </c>
      <c r="W24" s="122">
        <f>+Assumptions!$E84/12</f>
        <v>833.3333333333334</v>
      </c>
      <c r="X24" s="122">
        <f>+Assumptions!$E84/12</f>
        <v>833.3333333333334</v>
      </c>
      <c r="Y24" s="122">
        <f>+Assumptions!$E84/12</f>
        <v>833.3333333333334</v>
      </c>
      <c r="Z24" s="122">
        <f>+Assumptions!$E84/12</f>
        <v>833.3333333333334</v>
      </c>
      <c r="AA24" s="122">
        <f>+Assumptions!$E84/12</f>
        <v>833.3333333333334</v>
      </c>
      <c r="AB24" s="123">
        <f>+Assumptions!$E84/12</f>
        <v>833.3333333333334</v>
      </c>
      <c r="AC24" s="121">
        <f>+Assumptions!$F84/12</f>
        <v>1250</v>
      </c>
      <c r="AD24" s="122">
        <f>+Assumptions!$F84/12</f>
        <v>1250</v>
      </c>
      <c r="AE24" s="122">
        <f>+Assumptions!$F84/12</f>
        <v>1250</v>
      </c>
      <c r="AF24" s="122">
        <f>+Assumptions!$F84/12</f>
        <v>1250</v>
      </c>
      <c r="AG24" s="122">
        <f>+Assumptions!$F84/12</f>
        <v>1250</v>
      </c>
      <c r="AH24" s="122">
        <f>+Assumptions!$F84/12</f>
        <v>1250</v>
      </c>
      <c r="AI24" s="122">
        <f>+Assumptions!$F84/12</f>
        <v>1250</v>
      </c>
      <c r="AJ24" s="122">
        <f>+Assumptions!$F84/12</f>
        <v>1250</v>
      </c>
      <c r="AK24" s="122">
        <f>+Assumptions!$F84/12</f>
        <v>1250</v>
      </c>
      <c r="AL24" s="122">
        <f>+Assumptions!$F84/12</f>
        <v>1250</v>
      </c>
      <c r="AM24" s="122">
        <f>+Assumptions!$F84/12</f>
        <v>1250</v>
      </c>
      <c r="AN24" s="123">
        <f>+Assumptions!$F84/12</f>
        <v>1250</v>
      </c>
      <c r="AO24" s="121">
        <f>+Assumptions!$G84/12</f>
        <v>1875</v>
      </c>
      <c r="AP24" s="122">
        <f>+Assumptions!$G84/12</f>
        <v>1875</v>
      </c>
      <c r="AQ24" s="122">
        <f>+Assumptions!$G84/12</f>
        <v>1875</v>
      </c>
      <c r="AR24" s="122">
        <f>+Assumptions!$G84/12</f>
        <v>1875</v>
      </c>
      <c r="AS24" s="122">
        <f>+Assumptions!$G84/12</f>
        <v>1875</v>
      </c>
      <c r="AT24" s="122">
        <f>+Assumptions!$G84/12</f>
        <v>1875</v>
      </c>
      <c r="AU24" s="122">
        <f>+Assumptions!$G84/12</f>
        <v>1875</v>
      </c>
      <c r="AV24" s="122">
        <f>+Assumptions!$G84/12</f>
        <v>1875</v>
      </c>
      <c r="AW24" s="122">
        <f>+Assumptions!$G84/12</f>
        <v>1875</v>
      </c>
      <c r="AX24" s="122">
        <f>+Assumptions!$G84/12</f>
        <v>1875</v>
      </c>
      <c r="AY24" s="122">
        <f>+Assumptions!$G84/12</f>
        <v>1875</v>
      </c>
      <c r="AZ24" s="123">
        <f>+Assumptions!$G84/12</f>
        <v>1875</v>
      </c>
      <c r="BA24" s="121">
        <f>+Assumptions!$H84/12</f>
        <v>2812.5</v>
      </c>
      <c r="BB24" s="122">
        <f>+Assumptions!$H84/12</f>
        <v>2812.5</v>
      </c>
      <c r="BC24" s="122">
        <f>+Assumptions!$H84/12</f>
        <v>2812.5</v>
      </c>
      <c r="BD24" s="122">
        <f>+Assumptions!$H84/12</f>
        <v>2812.5</v>
      </c>
      <c r="BE24" s="122">
        <f>+Assumptions!$H84/12</f>
        <v>2812.5</v>
      </c>
      <c r="BF24" s="122">
        <f>+Assumptions!$H84/12</f>
        <v>2812.5</v>
      </c>
      <c r="BG24" s="122">
        <f>+Assumptions!$H84/12</f>
        <v>2812.5</v>
      </c>
      <c r="BH24" s="122">
        <f>+Assumptions!$H84/12</f>
        <v>2812.5</v>
      </c>
      <c r="BI24" s="122">
        <f>+Assumptions!$H84/12</f>
        <v>2812.5</v>
      </c>
      <c r="BJ24" s="122">
        <f>+Assumptions!$H84/12</f>
        <v>2812.5</v>
      </c>
      <c r="BK24" s="122">
        <f>+Assumptions!$H84/12</f>
        <v>2812.5</v>
      </c>
      <c r="BL24" s="123">
        <f>+Assumptions!$H84/12</f>
        <v>2812.5</v>
      </c>
    </row>
    <row r="25" spans="2:64" s="341" customFormat="1" ht="25.95" customHeight="1" hidden="1" outlineLevel="2">
      <c r="B25" s="288">
        <f>+Assumptions!B85</f>
        <v>0</v>
      </c>
      <c r="C25" s="345"/>
      <c r="D25" s="1020"/>
      <c r="E25" s="227">
        <f>+Assumptions!$D85/12</f>
        <v>0</v>
      </c>
      <c r="F25" s="122">
        <f>+Assumptions!$D85/12</f>
        <v>0</v>
      </c>
      <c r="G25" s="122">
        <f>+Assumptions!$D85/12</f>
        <v>0</v>
      </c>
      <c r="H25" s="122">
        <f>+Assumptions!$D85/12</f>
        <v>0</v>
      </c>
      <c r="I25" s="122">
        <f>+Assumptions!$D85/12</f>
        <v>0</v>
      </c>
      <c r="J25" s="122">
        <f>+Assumptions!$D85/12</f>
        <v>0</v>
      </c>
      <c r="K25" s="122">
        <f>+Assumptions!$D85/12</f>
        <v>0</v>
      </c>
      <c r="L25" s="122">
        <f>+Assumptions!$D85/12</f>
        <v>0</v>
      </c>
      <c r="M25" s="122">
        <f>+Assumptions!$D85/12</f>
        <v>0</v>
      </c>
      <c r="N25" s="122">
        <f>+Assumptions!$D85/12</f>
        <v>0</v>
      </c>
      <c r="O25" s="122">
        <f>+Assumptions!$D85/12</f>
        <v>0</v>
      </c>
      <c r="P25" s="123">
        <f>+Assumptions!$D85/12</f>
        <v>0</v>
      </c>
      <c r="Q25" s="121">
        <f>+Assumptions!$E85/12</f>
        <v>0</v>
      </c>
      <c r="R25" s="122">
        <f>+Assumptions!$E85/12</f>
        <v>0</v>
      </c>
      <c r="S25" s="122">
        <f>+Assumptions!$E85/12</f>
        <v>0</v>
      </c>
      <c r="T25" s="122">
        <f>+Assumptions!$E85/12</f>
        <v>0</v>
      </c>
      <c r="U25" s="122">
        <f>+Assumptions!$E85/12</f>
        <v>0</v>
      </c>
      <c r="V25" s="122">
        <f>+Assumptions!$E85/12</f>
        <v>0</v>
      </c>
      <c r="W25" s="122">
        <f>+Assumptions!$E85/12</f>
        <v>0</v>
      </c>
      <c r="X25" s="122">
        <f>+Assumptions!$E85/12</f>
        <v>0</v>
      </c>
      <c r="Y25" s="122">
        <f>+Assumptions!$E85/12</f>
        <v>0</v>
      </c>
      <c r="Z25" s="122">
        <f>+Assumptions!$E85/12</f>
        <v>0</v>
      </c>
      <c r="AA25" s="122">
        <f>+Assumptions!$E85/12</f>
        <v>0</v>
      </c>
      <c r="AB25" s="123">
        <f>+Assumptions!$E85/12</f>
        <v>0</v>
      </c>
      <c r="AC25" s="121">
        <f>+Assumptions!$F85/12</f>
        <v>0</v>
      </c>
      <c r="AD25" s="122">
        <f>+Assumptions!$F85/12</f>
        <v>0</v>
      </c>
      <c r="AE25" s="122">
        <f>+Assumptions!$F85/12</f>
        <v>0</v>
      </c>
      <c r="AF25" s="122">
        <f>+Assumptions!$F85/12</f>
        <v>0</v>
      </c>
      <c r="AG25" s="122">
        <f>+Assumptions!$F85/12</f>
        <v>0</v>
      </c>
      <c r="AH25" s="122">
        <f>+Assumptions!$F85/12</f>
        <v>0</v>
      </c>
      <c r="AI25" s="122">
        <f>+Assumptions!$F85/12</f>
        <v>0</v>
      </c>
      <c r="AJ25" s="122">
        <f>+Assumptions!$F85/12</f>
        <v>0</v>
      </c>
      <c r="AK25" s="122">
        <f>+Assumptions!$F85/12</f>
        <v>0</v>
      </c>
      <c r="AL25" s="122">
        <f>+Assumptions!$F85/12</f>
        <v>0</v>
      </c>
      <c r="AM25" s="122">
        <f>+Assumptions!$F85/12</f>
        <v>0</v>
      </c>
      <c r="AN25" s="123">
        <f>+Assumptions!$F85/12</f>
        <v>0</v>
      </c>
      <c r="AO25" s="121">
        <f>+Assumptions!$G85/12</f>
        <v>0</v>
      </c>
      <c r="AP25" s="122">
        <f>+Assumptions!$G85/12</f>
        <v>0</v>
      </c>
      <c r="AQ25" s="122">
        <f>+Assumptions!$G85/12</f>
        <v>0</v>
      </c>
      <c r="AR25" s="122">
        <f>+Assumptions!$G85/12</f>
        <v>0</v>
      </c>
      <c r="AS25" s="122">
        <f>+Assumptions!$G85/12</f>
        <v>0</v>
      </c>
      <c r="AT25" s="122">
        <f>+Assumptions!$G85/12</f>
        <v>0</v>
      </c>
      <c r="AU25" s="122">
        <f>+Assumptions!$G85/12</f>
        <v>0</v>
      </c>
      <c r="AV25" s="122">
        <f>+Assumptions!$G85/12</f>
        <v>0</v>
      </c>
      <c r="AW25" s="122">
        <f>+Assumptions!$G85/12</f>
        <v>0</v>
      </c>
      <c r="AX25" s="122">
        <f>+Assumptions!$G85/12</f>
        <v>0</v>
      </c>
      <c r="AY25" s="122">
        <f>+Assumptions!$G85/12</f>
        <v>0</v>
      </c>
      <c r="AZ25" s="123">
        <f>+Assumptions!$G85/12</f>
        <v>0</v>
      </c>
      <c r="BA25" s="121">
        <f>+Assumptions!$H85/12</f>
        <v>0</v>
      </c>
      <c r="BB25" s="122">
        <f>+Assumptions!$H85/12</f>
        <v>0</v>
      </c>
      <c r="BC25" s="122">
        <f>+Assumptions!$H85/12</f>
        <v>0</v>
      </c>
      <c r="BD25" s="122">
        <f>+Assumptions!$H85/12</f>
        <v>0</v>
      </c>
      <c r="BE25" s="122">
        <f>+Assumptions!$H85/12</f>
        <v>0</v>
      </c>
      <c r="BF25" s="122">
        <f>+Assumptions!$H85/12</f>
        <v>0</v>
      </c>
      <c r="BG25" s="122">
        <f>+Assumptions!$H85/12</f>
        <v>0</v>
      </c>
      <c r="BH25" s="122">
        <f>+Assumptions!$H85/12</f>
        <v>0</v>
      </c>
      <c r="BI25" s="122">
        <f>+Assumptions!$H85/12</f>
        <v>0</v>
      </c>
      <c r="BJ25" s="122">
        <f>+Assumptions!$H85/12</f>
        <v>0</v>
      </c>
      <c r="BK25" s="122">
        <f>+Assumptions!$H85/12</f>
        <v>0</v>
      </c>
      <c r="BL25" s="123">
        <f>+Assumptions!$H85/12</f>
        <v>0</v>
      </c>
    </row>
    <row r="26" spans="2:64" s="341" customFormat="1" ht="25.95" customHeight="1" hidden="1" outlineLevel="2">
      <c r="B26" s="288">
        <f>+Assumptions!B86</f>
        <v>0</v>
      </c>
      <c r="C26" s="345"/>
      <c r="D26" s="1020"/>
      <c r="E26" s="227">
        <f>+Assumptions!$D86/12</f>
        <v>0</v>
      </c>
      <c r="F26" s="122">
        <f>+Assumptions!$D86/12</f>
        <v>0</v>
      </c>
      <c r="G26" s="122">
        <f>+Assumptions!$D86/12</f>
        <v>0</v>
      </c>
      <c r="H26" s="122">
        <f>+Assumptions!$D86/12</f>
        <v>0</v>
      </c>
      <c r="I26" s="122">
        <f>+Assumptions!$D86/12</f>
        <v>0</v>
      </c>
      <c r="J26" s="122">
        <f>+Assumptions!$D86/12</f>
        <v>0</v>
      </c>
      <c r="K26" s="122">
        <f>+Assumptions!$D86/12</f>
        <v>0</v>
      </c>
      <c r="L26" s="122">
        <f>+Assumptions!$D86/12</f>
        <v>0</v>
      </c>
      <c r="M26" s="122">
        <f>+Assumptions!$D86/12</f>
        <v>0</v>
      </c>
      <c r="N26" s="122">
        <f>+Assumptions!$D86/12</f>
        <v>0</v>
      </c>
      <c r="O26" s="122">
        <f>+Assumptions!$D86/12</f>
        <v>0</v>
      </c>
      <c r="P26" s="123">
        <f>+Assumptions!$D86/12</f>
        <v>0</v>
      </c>
      <c r="Q26" s="121">
        <f>+Assumptions!$E86/12</f>
        <v>0</v>
      </c>
      <c r="R26" s="122">
        <f>+Assumptions!$E86/12</f>
        <v>0</v>
      </c>
      <c r="S26" s="122">
        <f>+Assumptions!$E86/12</f>
        <v>0</v>
      </c>
      <c r="T26" s="122">
        <f>+Assumptions!$E86/12</f>
        <v>0</v>
      </c>
      <c r="U26" s="122">
        <f>+Assumptions!$E86/12</f>
        <v>0</v>
      </c>
      <c r="V26" s="122">
        <f>+Assumptions!$E86/12</f>
        <v>0</v>
      </c>
      <c r="W26" s="122">
        <f>+Assumptions!$E86/12</f>
        <v>0</v>
      </c>
      <c r="X26" s="122">
        <f>+Assumptions!$E86/12</f>
        <v>0</v>
      </c>
      <c r="Y26" s="122">
        <f>+Assumptions!$E86/12</f>
        <v>0</v>
      </c>
      <c r="Z26" s="122">
        <f>+Assumptions!$E86/12</f>
        <v>0</v>
      </c>
      <c r="AA26" s="122">
        <f>+Assumptions!$E86/12</f>
        <v>0</v>
      </c>
      <c r="AB26" s="123">
        <f>+Assumptions!$E86/12</f>
        <v>0</v>
      </c>
      <c r="AC26" s="121">
        <f>+Assumptions!$F86/12</f>
        <v>0</v>
      </c>
      <c r="AD26" s="122">
        <f>+Assumptions!$F86/12</f>
        <v>0</v>
      </c>
      <c r="AE26" s="122">
        <f>+Assumptions!$F86/12</f>
        <v>0</v>
      </c>
      <c r="AF26" s="122">
        <f>+Assumptions!$F86/12</f>
        <v>0</v>
      </c>
      <c r="AG26" s="122">
        <f>+Assumptions!$F86/12</f>
        <v>0</v>
      </c>
      <c r="AH26" s="122">
        <f>+Assumptions!$F86/12</f>
        <v>0</v>
      </c>
      <c r="AI26" s="122">
        <f>+Assumptions!$F86/12</f>
        <v>0</v>
      </c>
      <c r="AJ26" s="122">
        <f>+Assumptions!$F86/12</f>
        <v>0</v>
      </c>
      <c r="AK26" s="122">
        <f>+Assumptions!$F86/12</f>
        <v>0</v>
      </c>
      <c r="AL26" s="122">
        <f>+Assumptions!$F86/12</f>
        <v>0</v>
      </c>
      <c r="AM26" s="122">
        <f>+Assumptions!$F86/12</f>
        <v>0</v>
      </c>
      <c r="AN26" s="123">
        <f>+Assumptions!$F86/12</f>
        <v>0</v>
      </c>
      <c r="AO26" s="121">
        <f>+Assumptions!$G86/12</f>
        <v>0</v>
      </c>
      <c r="AP26" s="122">
        <f>+Assumptions!$G86/12</f>
        <v>0</v>
      </c>
      <c r="AQ26" s="122">
        <f>+Assumptions!$G86/12</f>
        <v>0</v>
      </c>
      <c r="AR26" s="122">
        <f>+Assumptions!$G86/12</f>
        <v>0</v>
      </c>
      <c r="AS26" s="122">
        <f>+Assumptions!$G86/12</f>
        <v>0</v>
      </c>
      <c r="AT26" s="122">
        <f>+Assumptions!$G86/12</f>
        <v>0</v>
      </c>
      <c r="AU26" s="122">
        <f>+Assumptions!$G86/12</f>
        <v>0</v>
      </c>
      <c r="AV26" s="122">
        <f>+Assumptions!$G86/12</f>
        <v>0</v>
      </c>
      <c r="AW26" s="122">
        <f>+Assumptions!$G86/12</f>
        <v>0</v>
      </c>
      <c r="AX26" s="122">
        <f>+Assumptions!$G86/12</f>
        <v>0</v>
      </c>
      <c r="AY26" s="122">
        <f>+Assumptions!$G86/12</f>
        <v>0</v>
      </c>
      <c r="AZ26" s="123">
        <f>+Assumptions!$G86/12</f>
        <v>0</v>
      </c>
      <c r="BA26" s="121">
        <f>+Assumptions!$H86/12</f>
        <v>0</v>
      </c>
      <c r="BB26" s="122">
        <f>+Assumptions!$H86/12</f>
        <v>0</v>
      </c>
      <c r="BC26" s="122">
        <f>+Assumptions!$H86/12</f>
        <v>0</v>
      </c>
      <c r="BD26" s="122">
        <f>+Assumptions!$H86/12</f>
        <v>0</v>
      </c>
      <c r="BE26" s="122">
        <f>+Assumptions!$H86/12</f>
        <v>0</v>
      </c>
      <c r="BF26" s="122">
        <f>+Assumptions!$H86/12</f>
        <v>0</v>
      </c>
      <c r="BG26" s="122">
        <f>+Assumptions!$H86/12</f>
        <v>0</v>
      </c>
      <c r="BH26" s="122">
        <f>+Assumptions!$H86/12</f>
        <v>0</v>
      </c>
      <c r="BI26" s="122">
        <f>+Assumptions!$H86/12</f>
        <v>0</v>
      </c>
      <c r="BJ26" s="122">
        <f>+Assumptions!$H86/12</f>
        <v>0</v>
      </c>
      <c r="BK26" s="122">
        <f>+Assumptions!$H86/12</f>
        <v>0</v>
      </c>
      <c r="BL26" s="123">
        <f>+Assumptions!$H86/12</f>
        <v>0</v>
      </c>
    </row>
    <row r="27" spans="2:64" s="341" customFormat="1" ht="15.75" outlineLevel="1">
      <c r="B27" s="1565" t="str">
        <f>+Assumptions!B87</f>
        <v>IT</v>
      </c>
      <c r="C27" s="1566"/>
      <c r="D27" s="1021">
        <f>+SUM(D28:D31)</f>
        <v>1000</v>
      </c>
      <c r="E27" s="343">
        <f aca="true" t="shared" si="9" ref="E27:BL27">+SUM(E28:E31)</f>
        <v>250</v>
      </c>
      <c r="F27" s="343">
        <f t="shared" si="9"/>
        <v>250</v>
      </c>
      <c r="G27" s="343">
        <f t="shared" si="9"/>
        <v>250</v>
      </c>
      <c r="H27" s="343">
        <f t="shared" si="9"/>
        <v>250</v>
      </c>
      <c r="I27" s="343">
        <f t="shared" si="9"/>
        <v>250</v>
      </c>
      <c r="J27" s="343">
        <f t="shared" si="9"/>
        <v>250</v>
      </c>
      <c r="K27" s="343">
        <f t="shared" si="9"/>
        <v>250</v>
      </c>
      <c r="L27" s="343">
        <f t="shared" si="9"/>
        <v>250</v>
      </c>
      <c r="M27" s="343">
        <f t="shared" si="9"/>
        <v>250</v>
      </c>
      <c r="N27" s="343">
        <f t="shared" si="9"/>
        <v>250</v>
      </c>
      <c r="O27" s="343">
        <f t="shared" si="9"/>
        <v>250</v>
      </c>
      <c r="P27" s="344">
        <f t="shared" si="9"/>
        <v>250</v>
      </c>
      <c r="Q27" s="342">
        <f aca="true" t="shared" si="10" ref="Q27:AA27">+SUM(Q28:Q31)</f>
        <v>333.3333333333333</v>
      </c>
      <c r="R27" s="343">
        <f t="shared" si="10"/>
        <v>333.3333333333333</v>
      </c>
      <c r="S27" s="343">
        <f t="shared" si="10"/>
        <v>333.3333333333333</v>
      </c>
      <c r="T27" s="343">
        <f t="shared" si="10"/>
        <v>333.3333333333333</v>
      </c>
      <c r="U27" s="343">
        <f t="shared" si="10"/>
        <v>333.3333333333333</v>
      </c>
      <c r="V27" s="343">
        <f t="shared" si="10"/>
        <v>333.3333333333333</v>
      </c>
      <c r="W27" s="343">
        <f t="shared" si="10"/>
        <v>333.3333333333333</v>
      </c>
      <c r="X27" s="343">
        <f t="shared" si="10"/>
        <v>333.3333333333333</v>
      </c>
      <c r="Y27" s="343">
        <f t="shared" si="10"/>
        <v>333.3333333333333</v>
      </c>
      <c r="Z27" s="343">
        <f t="shared" si="10"/>
        <v>333.3333333333333</v>
      </c>
      <c r="AA27" s="343">
        <f t="shared" si="10"/>
        <v>333.3333333333333</v>
      </c>
      <c r="AB27" s="344">
        <f t="shared" si="9"/>
        <v>333.3333333333333</v>
      </c>
      <c r="AC27" s="342">
        <f aca="true" t="shared" si="11" ref="AC27:AM27">+SUM(AC28:AC31)</f>
        <v>416.6666666666667</v>
      </c>
      <c r="AD27" s="343">
        <f t="shared" si="11"/>
        <v>416.6666666666667</v>
      </c>
      <c r="AE27" s="343">
        <f t="shared" si="11"/>
        <v>416.6666666666667</v>
      </c>
      <c r="AF27" s="343">
        <f t="shared" si="11"/>
        <v>416.6666666666667</v>
      </c>
      <c r="AG27" s="343">
        <f t="shared" si="11"/>
        <v>416.6666666666667</v>
      </c>
      <c r="AH27" s="343">
        <f t="shared" si="11"/>
        <v>416.6666666666667</v>
      </c>
      <c r="AI27" s="343">
        <f t="shared" si="11"/>
        <v>416.6666666666667</v>
      </c>
      <c r="AJ27" s="343">
        <f t="shared" si="11"/>
        <v>416.6666666666667</v>
      </c>
      <c r="AK27" s="343">
        <f t="shared" si="11"/>
        <v>416.6666666666667</v>
      </c>
      <c r="AL27" s="343">
        <f t="shared" si="11"/>
        <v>416.6666666666667</v>
      </c>
      <c r="AM27" s="343">
        <f t="shared" si="11"/>
        <v>416.6666666666667</v>
      </c>
      <c r="AN27" s="344">
        <f t="shared" si="9"/>
        <v>416.6666666666667</v>
      </c>
      <c r="AO27" s="342">
        <f aca="true" t="shared" si="12" ref="AO27:AY27">+SUM(AO28:AO31)</f>
        <v>500</v>
      </c>
      <c r="AP27" s="343">
        <f t="shared" si="12"/>
        <v>500</v>
      </c>
      <c r="AQ27" s="343">
        <f t="shared" si="12"/>
        <v>500</v>
      </c>
      <c r="AR27" s="343">
        <f t="shared" si="12"/>
        <v>500</v>
      </c>
      <c r="AS27" s="343">
        <f t="shared" si="12"/>
        <v>500</v>
      </c>
      <c r="AT27" s="343">
        <f t="shared" si="12"/>
        <v>500</v>
      </c>
      <c r="AU27" s="343">
        <f t="shared" si="12"/>
        <v>500</v>
      </c>
      <c r="AV27" s="343">
        <f t="shared" si="12"/>
        <v>500</v>
      </c>
      <c r="AW27" s="343">
        <f t="shared" si="12"/>
        <v>500</v>
      </c>
      <c r="AX27" s="343">
        <f t="shared" si="12"/>
        <v>500</v>
      </c>
      <c r="AY27" s="343">
        <f t="shared" si="12"/>
        <v>500</v>
      </c>
      <c r="AZ27" s="344">
        <f t="shared" si="9"/>
        <v>500</v>
      </c>
      <c r="BA27" s="342">
        <f aca="true" t="shared" si="13" ref="BA27:BK27">+SUM(BA28:BA31)</f>
        <v>583.3333333333334</v>
      </c>
      <c r="BB27" s="343">
        <f t="shared" si="13"/>
        <v>583.3333333333334</v>
      </c>
      <c r="BC27" s="343">
        <f t="shared" si="13"/>
        <v>583.3333333333334</v>
      </c>
      <c r="BD27" s="343">
        <f t="shared" si="13"/>
        <v>583.3333333333334</v>
      </c>
      <c r="BE27" s="343">
        <f t="shared" si="13"/>
        <v>583.3333333333334</v>
      </c>
      <c r="BF27" s="343">
        <f t="shared" si="13"/>
        <v>583.3333333333334</v>
      </c>
      <c r="BG27" s="343">
        <f t="shared" si="13"/>
        <v>583.3333333333334</v>
      </c>
      <c r="BH27" s="343">
        <f t="shared" si="13"/>
        <v>583.3333333333334</v>
      </c>
      <c r="BI27" s="343">
        <f t="shared" si="13"/>
        <v>583.3333333333334</v>
      </c>
      <c r="BJ27" s="343">
        <f t="shared" si="13"/>
        <v>583.3333333333334</v>
      </c>
      <c r="BK27" s="343">
        <f t="shared" si="13"/>
        <v>583.3333333333334</v>
      </c>
      <c r="BL27" s="344">
        <f t="shared" si="9"/>
        <v>583.3333333333334</v>
      </c>
    </row>
    <row r="28" spans="2:64" s="341" customFormat="1" ht="25.95" customHeight="1" outlineLevel="2">
      <c r="B28" s="405" t="str">
        <f>+Assumptions!B88</f>
        <v>Server</v>
      </c>
      <c r="C28" s="406"/>
      <c r="D28" s="1020">
        <f>+Assumptions!C88</f>
        <v>1000</v>
      </c>
      <c r="E28" s="122">
        <f>+Assumptions!$D88/12</f>
        <v>250</v>
      </c>
      <c r="F28" s="122">
        <f>+Assumptions!$D88/12</f>
        <v>250</v>
      </c>
      <c r="G28" s="122">
        <f>+Assumptions!$D88/12</f>
        <v>250</v>
      </c>
      <c r="H28" s="122">
        <f>+Assumptions!$D88/12</f>
        <v>250</v>
      </c>
      <c r="I28" s="122">
        <f>+Assumptions!$D88/12</f>
        <v>250</v>
      </c>
      <c r="J28" s="122">
        <f>+Assumptions!$D88/12</f>
        <v>250</v>
      </c>
      <c r="K28" s="122">
        <f>+Assumptions!$D88/12</f>
        <v>250</v>
      </c>
      <c r="L28" s="122">
        <f>+Assumptions!$D88/12</f>
        <v>250</v>
      </c>
      <c r="M28" s="122">
        <f>+Assumptions!$D88/12</f>
        <v>250</v>
      </c>
      <c r="N28" s="122">
        <f>+Assumptions!$D88/12</f>
        <v>250</v>
      </c>
      <c r="O28" s="122">
        <f>+Assumptions!$D88/12</f>
        <v>250</v>
      </c>
      <c r="P28" s="123">
        <f>+Assumptions!$D88/12</f>
        <v>250</v>
      </c>
      <c r="Q28" s="121">
        <f>+Assumptions!$E88/12</f>
        <v>333.3333333333333</v>
      </c>
      <c r="R28" s="122">
        <f>+Assumptions!$E88/12</f>
        <v>333.3333333333333</v>
      </c>
      <c r="S28" s="122">
        <f>+Assumptions!$E88/12</f>
        <v>333.3333333333333</v>
      </c>
      <c r="T28" s="122">
        <f>+Assumptions!$E88/12</f>
        <v>333.3333333333333</v>
      </c>
      <c r="U28" s="122">
        <f>+Assumptions!$E88/12</f>
        <v>333.3333333333333</v>
      </c>
      <c r="V28" s="122">
        <f>+Assumptions!$E88/12</f>
        <v>333.3333333333333</v>
      </c>
      <c r="W28" s="122">
        <f>+Assumptions!$E88/12</f>
        <v>333.3333333333333</v>
      </c>
      <c r="X28" s="122">
        <f>+Assumptions!$E88/12</f>
        <v>333.3333333333333</v>
      </c>
      <c r="Y28" s="122">
        <f>+Assumptions!$E88/12</f>
        <v>333.3333333333333</v>
      </c>
      <c r="Z28" s="122">
        <f>+Assumptions!$E88/12</f>
        <v>333.3333333333333</v>
      </c>
      <c r="AA28" s="122">
        <f>+Assumptions!$E88/12</f>
        <v>333.3333333333333</v>
      </c>
      <c r="AB28" s="123">
        <f>+Assumptions!$E88/12</f>
        <v>333.3333333333333</v>
      </c>
      <c r="AC28" s="121">
        <f>+Assumptions!$F88/12</f>
        <v>416.6666666666667</v>
      </c>
      <c r="AD28" s="122">
        <f>+Assumptions!$F88/12</f>
        <v>416.6666666666667</v>
      </c>
      <c r="AE28" s="122">
        <f>+Assumptions!$F88/12</f>
        <v>416.6666666666667</v>
      </c>
      <c r="AF28" s="122">
        <f>+Assumptions!$F88/12</f>
        <v>416.6666666666667</v>
      </c>
      <c r="AG28" s="122">
        <f>+Assumptions!$F88/12</f>
        <v>416.6666666666667</v>
      </c>
      <c r="AH28" s="122">
        <f>+Assumptions!$F88/12</f>
        <v>416.6666666666667</v>
      </c>
      <c r="AI28" s="122">
        <f>+Assumptions!$F88/12</f>
        <v>416.6666666666667</v>
      </c>
      <c r="AJ28" s="122">
        <f>+Assumptions!$F88/12</f>
        <v>416.6666666666667</v>
      </c>
      <c r="AK28" s="122">
        <f>+Assumptions!$F88/12</f>
        <v>416.6666666666667</v>
      </c>
      <c r="AL28" s="122">
        <f>+Assumptions!$F88/12</f>
        <v>416.6666666666667</v>
      </c>
      <c r="AM28" s="122">
        <f>+Assumptions!$F88/12</f>
        <v>416.6666666666667</v>
      </c>
      <c r="AN28" s="123">
        <f>+Assumptions!$F88/12</f>
        <v>416.6666666666667</v>
      </c>
      <c r="AO28" s="121">
        <f>+Assumptions!$G88/12</f>
        <v>500</v>
      </c>
      <c r="AP28" s="122">
        <f>+Assumptions!$G88/12</f>
        <v>500</v>
      </c>
      <c r="AQ28" s="122">
        <f>+Assumptions!$G88/12</f>
        <v>500</v>
      </c>
      <c r="AR28" s="122">
        <f>+Assumptions!$G88/12</f>
        <v>500</v>
      </c>
      <c r="AS28" s="122">
        <f>+Assumptions!$G88/12</f>
        <v>500</v>
      </c>
      <c r="AT28" s="122">
        <f>+Assumptions!$G88/12</f>
        <v>500</v>
      </c>
      <c r="AU28" s="122">
        <f>+Assumptions!$G88/12</f>
        <v>500</v>
      </c>
      <c r="AV28" s="122">
        <f>+Assumptions!$G88/12</f>
        <v>500</v>
      </c>
      <c r="AW28" s="122">
        <f>+Assumptions!$G88/12</f>
        <v>500</v>
      </c>
      <c r="AX28" s="122">
        <f>+Assumptions!$G88/12</f>
        <v>500</v>
      </c>
      <c r="AY28" s="122">
        <f>+Assumptions!$G88/12</f>
        <v>500</v>
      </c>
      <c r="AZ28" s="123">
        <f>+Assumptions!$G88/12</f>
        <v>500</v>
      </c>
      <c r="BA28" s="121">
        <f>+Assumptions!$H88/12</f>
        <v>583.3333333333334</v>
      </c>
      <c r="BB28" s="122">
        <f>+Assumptions!$H88/12</f>
        <v>583.3333333333334</v>
      </c>
      <c r="BC28" s="122">
        <f>+Assumptions!$H88/12</f>
        <v>583.3333333333334</v>
      </c>
      <c r="BD28" s="122">
        <f>+Assumptions!$H88/12</f>
        <v>583.3333333333334</v>
      </c>
      <c r="BE28" s="122">
        <f>+Assumptions!$H88/12</f>
        <v>583.3333333333334</v>
      </c>
      <c r="BF28" s="122">
        <f>+Assumptions!$H88/12</f>
        <v>583.3333333333334</v>
      </c>
      <c r="BG28" s="122">
        <f>+Assumptions!$H88/12</f>
        <v>583.3333333333334</v>
      </c>
      <c r="BH28" s="122">
        <f>+Assumptions!$H88/12</f>
        <v>583.3333333333334</v>
      </c>
      <c r="BI28" s="122">
        <f>+Assumptions!$H88/12</f>
        <v>583.3333333333334</v>
      </c>
      <c r="BJ28" s="122">
        <f>+Assumptions!$H88/12</f>
        <v>583.3333333333334</v>
      </c>
      <c r="BK28" s="122">
        <f>+Assumptions!$H88/12</f>
        <v>583.3333333333334</v>
      </c>
      <c r="BL28" s="123">
        <f>+Assumptions!$H88/12</f>
        <v>583.3333333333334</v>
      </c>
    </row>
    <row r="29" spans="2:64" s="341" customFormat="1" ht="30.45" customHeight="1" hidden="1" outlineLevel="2">
      <c r="B29" s="405">
        <f>+Assumptions!B89</f>
        <v>0</v>
      </c>
      <c r="C29" s="406"/>
      <c r="D29" s="1020">
        <f>+Assumptions!C89</f>
        <v>0</v>
      </c>
      <c r="E29" s="122">
        <f>+Assumptions!$D89/12</f>
        <v>0</v>
      </c>
      <c r="F29" s="122">
        <f>+Assumptions!$D89/12</f>
        <v>0</v>
      </c>
      <c r="G29" s="122">
        <f>+Assumptions!$D89/12</f>
        <v>0</v>
      </c>
      <c r="H29" s="122">
        <f>+Assumptions!$D89/12</f>
        <v>0</v>
      </c>
      <c r="I29" s="122">
        <f>+Assumptions!$D89/12</f>
        <v>0</v>
      </c>
      <c r="J29" s="122">
        <f>+Assumptions!$D89/12</f>
        <v>0</v>
      </c>
      <c r="K29" s="122">
        <f>+Assumptions!$D89/12</f>
        <v>0</v>
      </c>
      <c r="L29" s="122">
        <f>+Assumptions!$D89/12</f>
        <v>0</v>
      </c>
      <c r="M29" s="122">
        <f>+Assumptions!$D89/12</f>
        <v>0</v>
      </c>
      <c r="N29" s="122">
        <f>+Assumptions!$D89/12</f>
        <v>0</v>
      </c>
      <c r="O29" s="122">
        <f>+Assumptions!$D89/12</f>
        <v>0</v>
      </c>
      <c r="P29" s="123">
        <f>+Assumptions!$D89/12</f>
        <v>0</v>
      </c>
      <c r="Q29" s="121">
        <f>+Assumptions!$E89/12</f>
        <v>0</v>
      </c>
      <c r="R29" s="122">
        <f>+Assumptions!$E89/12</f>
        <v>0</v>
      </c>
      <c r="S29" s="122">
        <f>+Assumptions!$E89/12</f>
        <v>0</v>
      </c>
      <c r="T29" s="122">
        <f>+Assumptions!$E89/12</f>
        <v>0</v>
      </c>
      <c r="U29" s="122">
        <f>+Assumptions!$E89/12</f>
        <v>0</v>
      </c>
      <c r="V29" s="122">
        <f>+Assumptions!$E89/12</f>
        <v>0</v>
      </c>
      <c r="W29" s="122">
        <f>+Assumptions!$E89/12</f>
        <v>0</v>
      </c>
      <c r="X29" s="122">
        <f>+Assumptions!$E89/12</f>
        <v>0</v>
      </c>
      <c r="Y29" s="122">
        <f>+Assumptions!$E89/12</f>
        <v>0</v>
      </c>
      <c r="Z29" s="122">
        <f>+Assumptions!$E89/12</f>
        <v>0</v>
      </c>
      <c r="AA29" s="122">
        <f>+Assumptions!$E89/12</f>
        <v>0</v>
      </c>
      <c r="AB29" s="123">
        <f>+Assumptions!$E89/12</f>
        <v>0</v>
      </c>
      <c r="AC29" s="121">
        <f>+Assumptions!$F89/12</f>
        <v>0</v>
      </c>
      <c r="AD29" s="122">
        <f>+Assumptions!$F89/12</f>
        <v>0</v>
      </c>
      <c r="AE29" s="122">
        <f>+Assumptions!$F89/12</f>
        <v>0</v>
      </c>
      <c r="AF29" s="122">
        <f>+Assumptions!$F89/12</f>
        <v>0</v>
      </c>
      <c r="AG29" s="122">
        <f>+Assumptions!$F89/12</f>
        <v>0</v>
      </c>
      <c r="AH29" s="122">
        <f>+Assumptions!$F89/12</f>
        <v>0</v>
      </c>
      <c r="AI29" s="122">
        <f>+Assumptions!$F89/12</f>
        <v>0</v>
      </c>
      <c r="AJ29" s="122">
        <f>+Assumptions!$F89/12</f>
        <v>0</v>
      </c>
      <c r="AK29" s="122">
        <f>+Assumptions!$F89/12</f>
        <v>0</v>
      </c>
      <c r="AL29" s="122">
        <f>+Assumptions!$F89/12</f>
        <v>0</v>
      </c>
      <c r="AM29" s="122">
        <f>+Assumptions!$F89/12</f>
        <v>0</v>
      </c>
      <c r="AN29" s="123">
        <f>+Assumptions!$F89/12</f>
        <v>0</v>
      </c>
      <c r="AO29" s="121">
        <f>+Assumptions!$G89/12</f>
        <v>0</v>
      </c>
      <c r="AP29" s="122">
        <f>+Assumptions!$G89/12</f>
        <v>0</v>
      </c>
      <c r="AQ29" s="122">
        <f>+Assumptions!$G89/12</f>
        <v>0</v>
      </c>
      <c r="AR29" s="122">
        <f>+Assumptions!$G89/12</f>
        <v>0</v>
      </c>
      <c r="AS29" s="122">
        <f>+Assumptions!$G89/12</f>
        <v>0</v>
      </c>
      <c r="AT29" s="122">
        <f>+Assumptions!$G89/12</f>
        <v>0</v>
      </c>
      <c r="AU29" s="122">
        <f>+Assumptions!$G89/12</f>
        <v>0</v>
      </c>
      <c r="AV29" s="122">
        <f>+Assumptions!$G89/12</f>
        <v>0</v>
      </c>
      <c r="AW29" s="122">
        <f>+Assumptions!$G89/12</f>
        <v>0</v>
      </c>
      <c r="AX29" s="122">
        <f>+Assumptions!$G89/12</f>
        <v>0</v>
      </c>
      <c r="AY29" s="122">
        <f>+Assumptions!$G89/12</f>
        <v>0</v>
      </c>
      <c r="AZ29" s="123">
        <f>+Assumptions!$G89/12</f>
        <v>0</v>
      </c>
      <c r="BA29" s="121">
        <f>+Assumptions!$H89/12</f>
        <v>0</v>
      </c>
      <c r="BB29" s="122">
        <f>+Assumptions!$H89/12</f>
        <v>0</v>
      </c>
      <c r="BC29" s="122">
        <f>+Assumptions!$H89/12</f>
        <v>0</v>
      </c>
      <c r="BD29" s="122">
        <f>+Assumptions!$H89/12</f>
        <v>0</v>
      </c>
      <c r="BE29" s="122">
        <f>+Assumptions!$H89/12</f>
        <v>0</v>
      </c>
      <c r="BF29" s="122">
        <f>+Assumptions!$H89/12</f>
        <v>0</v>
      </c>
      <c r="BG29" s="122">
        <f>+Assumptions!$H89/12</f>
        <v>0</v>
      </c>
      <c r="BH29" s="122">
        <f>+Assumptions!$H89/12</f>
        <v>0</v>
      </c>
      <c r="BI29" s="122">
        <f>+Assumptions!$H89/12</f>
        <v>0</v>
      </c>
      <c r="BJ29" s="122">
        <f>+Assumptions!$H89/12</f>
        <v>0</v>
      </c>
      <c r="BK29" s="122">
        <f>+Assumptions!$H89/12</f>
        <v>0</v>
      </c>
      <c r="BL29" s="123">
        <f>+Assumptions!$H89/12</f>
        <v>0</v>
      </c>
    </row>
    <row r="30" spans="2:64" s="341" customFormat="1" ht="25.95" customHeight="1" hidden="1" outlineLevel="2">
      <c r="B30" s="405">
        <f>+Assumptions!B90</f>
        <v>0</v>
      </c>
      <c r="C30" s="406"/>
      <c r="D30" s="1020">
        <f>+Assumptions!C90</f>
        <v>0</v>
      </c>
      <c r="E30" s="122">
        <f>+Assumptions!$D90/12</f>
        <v>0</v>
      </c>
      <c r="F30" s="122">
        <f>+Assumptions!$D90/12</f>
        <v>0</v>
      </c>
      <c r="G30" s="122">
        <f>+Assumptions!$D90/12</f>
        <v>0</v>
      </c>
      <c r="H30" s="122">
        <f>+Assumptions!$D90/12</f>
        <v>0</v>
      </c>
      <c r="I30" s="122">
        <f>+Assumptions!$D90/12</f>
        <v>0</v>
      </c>
      <c r="J30" s="122">
        <f>+Assumptions!$D90/12</f>
        <v>0</v>
      </c>
      <c r="K30" s="122">
        <f>+Assumptions!$D90/12</f>
        <v>0</v>
      </c>
      <c r="L30" s="122">
        <f>+Assumptions!$D90/12</f>
        <v>0</v>
      </c>
      <c r="M30" s="122">
        <f>+Assumptions!$D90/12</f>
        <v>0</v>
      </c>
      <c r="N30" s="122">
        <f>+Assumptions!$D90/12</f>
        <v>0</v>
      </c>
      <c r="O30" s="122">
        <f>+Assumptions!$D90/12</f>
        <v>0</v>
      </c>
      <c r="P30" s="123">
        <f>+Assumptions!$D90/12</f>
        <v>0</v>
      </c>
      <c r="Q30" s="121">
        <f>+Assumptions!$E90/12</f>
        <v>0</v>
      </c>
      <c r="R30" s="122">
        <f>+Assumptions!$E90/12</f>
        <v>0</v>
      </c>
      <c r="S30" s="122">
        <f>+Assumptions!$E90/12</f>
        <v>0</v>
      </c>
      <c r="T30" s="122">
        <f>+Assumptions!$E90/12</f>
        <v>0</v>
      </c>
      <c r="U30" s="122">
        <f>+Assumptions!$E90/12</f>
        <v>0</v>
      </c>
      <c r="V30" s="122">
        <f>+Assumptions!$E90/12</f>
        <v>0</v>
      </c>
      <c r="W30" s="122">
        <f>+Assumptions!$E90/12</f>
        <v>0</v>
      </c>
      <c r="X30" s="122">
        <f>+Assumptions!$E90/12</f>
        <v>0</v>
      </c>
      <c r="Y30" s="122">
        <f>+Assumptions!$E90/12</f>
        <v>0</v>
      </c>
      <c r="Z30" s="122">
        <f>+Assumptions!$E90/12</f>
        <v>0</v>
      </c>
      <c r="AA30" s="122">
        <f>+Assumptions!$E90/12</f>
        <v>0</v>
      </c>
      <c r="AB30" s="123">
        <f>+Assumptions!$E90/12</f>
        <v>0</v>
      </c>
      <c r="AC30" s="121">
        <f>+Assumptions!$F90/12</f>
        <v>0</v>
      </c>
      <c r="AD30" s="122">
        <f>+Assumptions!$F90/12</f>
        <v>0</v>
      </c>
      <c r="AE30" s="122">
        <f>+Assumptions!$F90/12</f>
        <v>0</v>
      </c>
      <c r="AF30" s="122">
        <f>+Assumptions!$F90/12</f>
        <v>0</v>
      </c>
      <c r="AG30" s="122">
        <f>+Assumptions!$F90/12</f>
        <v>0</v>
      </c>
      <c r="AH30" s="122">
        <f>+Assumptions!$F90/12</f>
        <v>0</v>
      </c>
      <c r="AI30" s="122">
        <f>+Assumptions!$F90/12</f>
        <v>0</v>
      </c>
      <c r="AJ30" s="122">
        <f>+Assumptions!$F90/12</f>
        <v>0</v>
      </c>
      <c r="AK30" s="122">
        <f>+Assumptions!$F90/12</f>
        <v>0</v>
      </c>
      <c r="AL30" s="122">
        <f>+Assumptions!$F90/12</f>
        <v>0</v>
      </c>
      <c r="AM30" s="122">
        <f>+Assumptions!$F90/12</f>
        <v>0</v>
      </c>
      <c r="AN30" s="123">
        <f>+Assumptions!$F90/12</f>
        <v>0</v>
      </c>
      <c r="AO30" s="121">
        <f>+Assumptions!$G90/12</f>
        <v>0</v>
      </c>
      <c r="AP30" s="122">
        <f>+Assumptions!$G90/12</f>
        <v>0</v>
      </c>
      <c r="AQ30" s="122">
        <f>+Assumptions!$G90/12</f>
        <v>0</v>
      </c>
      <c r="AR30" s="122">
        <f>+Assumptions!$G90/12</f>
        <v>0</v>
      </c>
      <c r="AS30" s="122">
        <f>+Assumptions!$G90/12</f>
        <v>0</v>
      </c>
      <c r="AT30" s="122">
        <f>+Assumptions!$G90/12</f>
        <v>0</v>
      </c>
      <c r="AU30" s="122">
        <f>+Assumptions!$G90/12</f>
        <v>0</v>
      </c>
      <c r="AV30" s="122">
        <f>+Assumptions!$G90/12</f>
        <v>0</v>
      </c>
      <c r="AW30" s="122">
        <f>+Assumptions!$G90/12</f>
        <v>0</v>
      </c>
      <c r="AX30" s="122">
        <f>+Assumptions!$G90/12</f>
        <v>0</v>
      </c>
      <c r="AY30" s="122">
        <f>+Assumptions!$G90/12</f>
        <v>0</v>
      </c>
      <c r="AZ30" s="123">
        <f>+Assumptions!$G90/12</f>
        <v>0</v>
      </c>
      <c r="BA30" s="121">
        <f>+Assumptions!$H90/12</f>
        <v>0</v>
      </c>
      <c r="BB30" s="122">
        <f>+Assumptions!$H90/12</f>
        <v>0</v>
      </c>
      <c r="BC30" s="122">
        <f>+Assumptions!$H90/12</f>
        <v>0</v>
      </c>
      <c r="BD30" s="122">
        <f>+Assumptions!$H90/12</f>
        <v>0</v>
      </c>
      <c r="BE30" s="122">
        <f>+Assumptions!$H90/12</f>
        <v>0</v>
      </c>
      <c r="BF30" s="122">
        <f>+Assumptions!$H90/12</f>
        <v>0</v>
      </c>
      <c r="BG30" s="122">
        <f>+Assumptions!$H90/12</f>
        <v>0</v>
      </c>
      <c r="BH30" s="122">
        <f>+Assumptions!$H90/12</f>
        <v>0</v>
      </c>
      <c r="BI30" s="122">
        <f>+Assumptions!$H90/12</f>
        <v>0</v>
      </c>
      <c r="BJ30" s="122">
        <f>+Assumptions!$H90/12</f>
        <v>0</v>
      </c>
      <c r="BK30" s="122">
        <f>+Assumptions!$H90/12</f>
        <v>0</v>
      </c>
      <c r="BL30" s="123">
        <f>+Assumptions!$H90/12</f>
        <v>0</v>
      </c>
    </row>
    <row r="31" spans="2:64" s="341" customFormat="1" ht="25.95" customHeight="1" hidden="1" outlineLevel="2">
      <c r="B31" s="405">
        <f>+Assumptions!B91</f>
        <v>0</v>
      </c>
      <c r="C31" s="406"/>
      <c r="D31" s="1020"/>
      <c r="E31" s="122">
        <f>+Assumptions!$D91/12</f>
        <v>0</v>
      </c>
      <c r="F31" s="122">
        <f>+Assumptions!$D91/12</f>
        <v>0</v>
      </c>
      <c r="G31" s="122">
        <f>+Assumptions!$D91/12</f>
        <v>0</v>
      </c>
      <c r="H31" s="122">
        <f>+Assumptions!$D91/12</f>
        <v>0</v>
      </c>
      <c r="I31" s="122">
        <f>+Assumptions!$D91/12</f>
        <v>0</v>
      </c>
      <c r="J31" s="122">
        <f>+Assumptions!$D91/12</f>
        <v>0</v>
      </c>
      <c r="K31" s="122">
        <f>+Assumptions!$D91/12</f>
        <v>0</v>
      </c>
      <c r="L31" s="122">
        <f>+Assumptions!$D91/12</f>
        <v>0</v>
      </c>
      <c r="M31" s="122">
        <f>+Assumptions!$D91/12</f>
        <v>0</v>
      </c>
      <c r="N31" s="122">
        <f>+Assumptions!$D91/12</f>
        <v>0</v>
      </c>
      <c r="O31" s="122">
        <f>+Assumptions!$D91/12</f>
        <v>0</v>
      </c>
      <c r="P31" s="123">
        <f>+Assumptions!$D91/12</f>
        <v>0</v>
      </c>
      <c r="Q31" s="121">
        <f>+Assumptions!$E91/12</f>
        <v>0</v>
      </c>
      <c r="R31" s="122">
        <f>+Assumptions!$E91/12</f>
        <v>0</v>
      </c>
      <c r="S31" s="122">
        <f>+Assumptions!$E91/12</f>
        <v>0</v>
      </c>
      <c r="T31" s="122">
        <f>+Assumptions!$E91/12</f>
        <v>0</v>
      </c>
      <c r="U31" s="122">
        <f>+Assumptions!$E91/12</f>
        <v>0</v>
      </c>
      <c r="V31" s="122">
        <f>+Assumptions!$E91/12</f>
        <v>0</v>
      </c>
      <c r="W31" s="122">
        <f>+Assumptions!$E91/12</f>
        <v>0</v>
      </c>
      <c r="X31" s="122">
        <f>+Assumptions!$E91/12</f>
        <v>0</v>
      </c>
      <c r="Y31" s="122">
        <f>+Assumptions!$E91/12</f>
        <v>0</v>
      </c>
      <c r="Z31" s="122">
        <f>+Assumptions!$E91/12</f>
        <v>0</v>
      </c>
      <c r="AA31" s="122">
        <f>+Assumptions!$E91/12</f>
        <v>0</v>
      </c>
      <c r="AB31" s="123">
        <f>+Assumptions!$E91/12</f>
        <v>0</v>
      </c>
      <c r="AC31" s="121">
        <f>+Assumptions!$F91/12</f>
        <v>0</v>
      </c>
      <c r="AD31" s="122">
        <f>+Assumptions!$F91/12</f>
        <v>0</v>
      </c>
      <c r="AE31" s="122">
        <f>+Assumptions!$F91/12</f>
        <v>0</v>
      </c>
      <c r="AF31" s="122">
        <f>+Assumptions!$F91/12</f>
        <v>0</v>
      </c>
      <c r="AG31" s="122">
        <f>+Assumptions!$F91/12</f>
        <v>0</v>
      </c>
      <c r="AH31" s="122">
        <f>+Assumptions!$F91/12</f>
        <v>0</v>
      </c>
      <c r="AI31" s="122">
        <f>+Assumptions!$F91/12</f>
        <v>0</v>
      </c>
      <c r="AJ31" s="122">
        <f>+Assumptions!$F91/12</f>
        <v>0</v>
      </c>
      <c r="AK31" s="122">
        <f>+Assumptions!$F91/12</f>
        <v>0</v>
      </c>
      <c r="AL31" s="122">
        <f>+Assumptions!$F91/12</f>
        <v>0</v>
      </c>
      <c r="AM31" s="122">
        <f>+Assumptions!$F91/12</f>
        <v>0</v>
      </c>
      <c r="AN31" s="123">
        <f>+Assumptions!$F91/12</f>
        <v>0</v>
      </c>
      <c r="AO31" s="121">
        <f>+Assumptions!$G91/12</f>
        <v>0</v>
      </c>
      <c r="AP31" s="122">
        <f>+Assumptions!$G91/12</f>
        <v>0</v>
      </c>
      <c r="AQ31" s="122">
        <f>+Assumptions!$G91/12</f>
        <v>0</v>
      </c>
      <c r="AR31" s="122">
        <f>+Assumptions!$G91/12</f>
        <v>0</v>
      </c>
      <c r="AS31" s="122">
        <f>+Assumptions!$G91/12</f>
        <v>0</v>
      </c>
      <c r="AT31" s="122">
        <f>+Assumptions!$G91/12</f>
        <v>0</v>
      </c>
      <c r="AU31" s="122">
        <f>+Assumptions!$G91/12</f>
        <v>0</v>
      </c>
      <c r="AV31" s="122">
        <f>+Assumptions!$G91/12</f>
        <v>0</v>
      </c>
      <c r="AW31" s="122">
        <f>+Assumptions!$G91/12</f>
        <v>0</v>
      </c>
      <c r="AX31" s="122">
        <f>+Assumptions!$G91/12</f>
        <v>0</v>
      </c>
      <c r="AY31" s="122">
        <f>+Assumptions!$G91/12</f>
        <v>0</v>
      </c>
      <c r="AZ31" s="123">
        <f>+Assumptions!$G91/12</f>
        <v>0</v>
      </c>
      <c r="BA31" s="121">
        <f>+Assumptions!$H91/12</f>
        <v>0</v>
      </c>
      <c r="BB31" s="122">
        <f>+Assumptions!$H91/12</f>
        <v>0</v>
      </c>
      <c r="BC31" s="122">
        <f>+Assumptions!$H91/12</f>
        <v>0</v>
      </c>
      <c r="BD31" s="122">
        <f>+Assumptions!$H91/12</f>
        <v>0</v>
      </c>
      <c r="BE31" s="122">
        <f>+Assumptions!$H91/12</f>
        <v>0</v>
      </c>
      <c r="BF31" s="122">
        <f>+Assumptions!$H91/12</f>
        <v>0</v>
      </c>
      <c r="BG31" s="122">
        <f>+Assumptions!$H91/12</f>
        <v>0</v>
      </c>
      <c r="BH31" s="122">
        <f>+Assumptions!$H91/12</f>
        <v>0</v>
      </c>
      <c r="BI31" s="122">
        <f>+Assumptions!$H91/12</f>
        <v>0</v>
      </c>
      <c r="BJ31" s="122">
        <f>+Assumptions!$H91/12</f>
        <v>0</v>
      </c>
      <c r="BK31" s="122">
        <f>+Assumptions!$H91/12</f>
        <v>0</v>
      </c>
      <c r="BL31" s="123">
        <f>+Assumptions!$H91/12</f>
        <v>0</v>
      </c>
    </row>
    <row r="32" spans="2:64" s="341" customFormat="1" ht="15.75" outlineLevel="1">
      <c r="B32" s="1565" t="str">
        <f>+Assumptions!B92</f>
        <v>G&amp;A</v>
      </c>
      <c r="C32" s="1566"/>
      <c r="D32" s="1021">
        <f>+SUM(D33:D41)</f>
        <v>18206</v>
      </c>
      <c r="E32" s="343">
        <f aca="true" t="shared" si="14" ref="E32:AJ32">+SUM(E33:E40)</f>
        <v>0</v>
      </c>
      <c r="F32" s="343">
        <f t="shared" si="14"/>
        <v>0</v>
      </c>
      <c r="G32" s="343">
        <f t="shared" si="14"/>
        <v>0</v>
      </c>
      <c r="H32" s="343">
        <f t="shared" si="14"/>
        <v>0</v>
      </c>
      <c r="I32" s="343">
        <f t="shared" si="14"/>
        <v>0</v>
      </c>
      <c r="J32" s="343">
        <f t="shared" si="14"/>
        <v>0</v>
      </c>
      <c r="K32" s="343">
        <f t="shared" si="14"/>
        <v>0</v>
      </c>
      <c r="L32" s="343">
        <f t="shared" si="14"/>
        <v>0</v>
      </c>
      <c r="M32" s="343">
        <f t="shared" si="14"/>
        <v>0</v>
      </c>
      <c r="N32" s="343">
        <f t="shared" si="14"/>
        <v>3533.3333333333335</v>
      </c>
      <c r="O32" s="343">
        <f t="shared" si="14"/>
        <v>3533.3333333333335</v>
      </c>
      <c r="P32" s="344">
        <f t="shared" si="14"/>
        <v>3533.3333333333335</v>
      </c>
      <c r="Q32" s="342">
        <f t="shared" si="14"/>
        <v>8263.333333333334</v>
      </c>
      <c r="R32" s="343">
        <f t="shared" si="14"/>
        <v>8263.333333333334</v>
      </c>
      <c r="S32" s="343">
        <f t="shared" si="14"/>
        <v>8263.333333333334</v>
      </c>
      <c r="T32" s="343">
        <f t="shared" si="14"/>
        <v>8263.333333333334</v>
      </c>
      <c r="U32" s="343">
        <f t="shared" si="14"/>
        <v>8263.333333333334</v>
      </c>
      <c r="V32" s="343">
        <f t="shared" si="14"/>
        <v>8263.333333333334</v>
      </c>
      <c r="W32" s="343">
        <f t="shared" si="14"/>
        <v>8263.333333333334</v>
      </c>
      <c r="X32" s="343">
        <f t="shared" si="14"/>
        <v>8263.333333333334</v>
      </c>
      <c r="Y32" s="343">
        <f t="shared" si="14"/>
        <v>8263.333333333334</v>
      </c>
      <c r="Z32" s="343">
        <f t="shared" si="14"/>
        <v>8263.333333333334</v>
      </c>
      <c r="AA32" s="343">
        <f t="shared" si="14"/>
        <v>8263.333333333334</v>
      </c>
      <c r="AB32" s="344">
        <f t="shared" si="14"/>
        <v>8263.333333333334</v>
      </c>
      <c r="AC32" s="342">
        <f t="shared" si="14"/>
        <v>9781.333333333332</v>
      </c>
      <c r="AD32" s="343">
        <f t="shared" si="14"/>
        <v>9781.333333333332</v>
      </c>
      <c r="AE32" s="343">
        <f t="shared" si="14"/>
        <v>9781.333333333332</v>
      </c>
      <c r="AF32" s="343">
        <f t="shared" si="14"/>
        <v>9781.333333333332</v>
      </c>
      <c r="AG32" s="343">
        <f t="shared" si="14"/>
        <v>9781.333333333332</v>
      </c>
      <c r="AH32" s="343">
        <f t="shared" si="14"/>
        <v>9781.333333333332</v>
      </c>
      <c r="AI32" s="343">
        <f t="shared" si="14"/>
        <v>9781.333333333332</v>
      </c>
      <c r="AJ32" s="343">
        <f t="shared" si="14"/>
        <v>9781.333333333332</v>
      </c>
      <c r="AK32" s="343">
        <f aca="true" t="shared" si="15" ref="AK32:BL32">+SUM(AK33:AK40)</f>
        <v>9781.333333333332</v>
      </c>
      <c r="AL32" s="343">
        <f t="shared" si="15"/>
        <v>9781.333333333332</v>
      </c>
      <c r="AM32" s="343">
        <f t="shared" si="15"/>
        <v>9781.333333333332</v>
      </c>
      <c r="AN32" s="344">
        <f t="shared" si="15"/>
        <v>9781.333333333332</v>
      </c>
      <c r="AO32" s="342">
        <f t="shared" si="15"/>
        <v>11422.8</v>
      </c>
      <c r="AP32" s="343">
        <f t="shared" si="15"/>
        <v>11422.8</v>
      </c>
      <c r="AQ32" s="343">
        <f t="shared" si="15"/>
        <v>11422.8</v>
      </c>
      <c r="AR32" s="343">
        <f t="shared" si="15"/>
        <v>11422.8</v>
      </c>
      <c r="AS32" s="343">
        <f t="shared" si="15"/>
        <v>11422.8</v>
      </c>
      <c r="AT32" s="343">
        <f t="shared" si="15"/>
        <v>11422.8</v>
      </c>
      <c r="AU32" s="343">
        <f t="shared" si="15"/>
        <v>11422.8</v>
      </c>
      <c r="AV32" s="343">
        <f t="shared" si="15"/>
        <v>11422.8</v>
      </c>
      <c r="AW32" s="343">
        <f t="shared" si="15"/>
        <v>11422.8</v>
      </c>
      <c r="AX32" s="343">
        <f t="shared" si="15"/>
        <v>11422.8</v>
      </c>
      <c r="AY32" s="343">
        <f t="shared" si="15"/>
        <v>11422.8</v>
      </c>
      <c r="AZ32" s="344">
        <f t="shared" si="15"/>
        <v>11422.8</v>
      </c>
      <c r="BA32" s="342">
        <f t="shared" si="15"/>
        <v>13211.080000000002</v>
      </c>
      <c r="BB32" s="343">
        <f t="shared" si="15"/>
        <v>13211.080000000002</v>
      </c>
      <c r="BC32" s="343">
        <f t="shared" si="15"/>
        <v>13211.080000000002</v>
      </c>
      <c r="BD32" s="343">
        <f t="shared" si="15"/>
        <v>13211.080000000002</v>
      </c>
      <c r="BE32" s="343">
        <f t="shared" si="15"/>
        <v>13211.080000000002</v>
      </c>
      <c r="BF32" s="343">
        <f t="shared" si="15"/>
        <v>13211.080000000002</v>
      </c>
      <c r="BG32" s="343">
        <f t="shared" si="15"/>
        <v>13211.080000000002</v>
      </c>
      <c r="BH32" s="343">
        <f t="shared" si="15"/>
        <v>13211.080000000002</v>
      </c>
      <c r="BI32" s="343">
        <f t="shared" si="15"/>
        <v>13211.080000000002</v>
      </c>
      <c r="BJ32" s="343">
        <f t="shared" si="15"/>
        <v>13211.080000000002</v>
      </c>
      <c r="BK32" s="343">
        <f t="shared" si="15"/>
        <v>13211.080000000002</v>
      </c>
      <c r="BL32" s="344">
        <f t="shared" si="15"/>
        <v>13211.080000000002</v>
      </c>
    </row>
    <row r="33" spans="2:64" s="341" customFormat="1" ht="25.95" customHeight="1" outlineLevel="2">
      <c r="B33" s="1567" t="str">
        <f>+Assumptions!B93</f>
        <v xml:space="preserve">Travel expenses </v>
      </c>
      <c r="C33" s="1568"/>
      <c r="D33" s="1020">
        <v>0</v>
      </c>
      <c r="E33" s="122">
        <f>+Assumptions!$D93/12</f>
        <v>0</v>
      </c>
      <c r="F33" s="122">
        <f>+Assumptions!$D93/12</f>
        <v>0</v>
      </c>
      <c r="G33" s="122">
        <f>+Assumptions!$D93/12</f>
        <v>0</v>
      </c>
      <c r="H33" s="122">
        <f>+Assumptions!$D93/12</f>
        <v>0</v>
      </c>
      <c r="I33" s="122">
        <f>+Assumptions!$D93/12</f>
        <v>0</v>
      </c>
      <c r="J33" s="122">
        <f>+Assumptions!$D93/12</f>
        <v>0</v>
      </c>
      <c r="K33" s="122">
        <f>+Assumptions!$D93/12</f>
        <v>0</v>
      </c>
      <c r="L33" s="122">
        <f>+Assumptions!$D93/12</f>
        <v>0</v>
      </c>
      <c r="M33" s="122">
        <f>+Assumptions!$D93/12</f>
        <v>0</v>
      </c>
      <c r="N33" s="122">
        <f>+Assumptions!$D93/12</f>
        <v>0</v>
      </c>
      <c r="O33" s="122">
        <f>+Assumptions!$D93/12</f>
        <v>0</v>
      </c>
      <c r="P33" s="123">
        <f>+Assumptions!$D93/12</f>
        <v>0</v>
      </c>
      <c r="Q33" s="121">
        <f>+Assumptions!$E93/12</f>
        <v>250</v>
      </c>
      <c r="R33" s="122">
        <f>+Assumptions!$E93/12</f>
        <v>250</v>
      </c>
      <c r="S33" s="122">
        <f>+Assumptions!$E93/12</f>
        <v>250</v>
      </c>
      <c r="T33" s="122">
        <f>+Assumptions!$E93/12</f>
        <v>250</v>
      </c>
      <c r="U33" s="122">
        <f>+Assumptions!$E93/12</f>
        <v>250</v>
      </c>
      <c r="V33" s="122">
        <f>+Assumptions!$E93/12</f>
        <v>250</v>
      </c>
      <c r="W33" s="122">
        <f>+Assumptions!$E93/12</f>
        <v>250</v>
      </c>
      <c r="X33" s="122">
        <f>+Assumptions!$E93/12</f>
        <v>250</v>
      </c>
      <c r="Y33" s="122">
        <f>+Assumptions!$E93/12</f>
        <v>250</v>
      </c>
      <c r="Z33" s="122">
        <f>+Assumptions!$E93/12</f>
        <v>250</v>
      </c>
      <c r="AA33" s="122">
        <f>+Assumptions!$E93/12</f>
        <v>250</v>
      </c>
      <c r="AB33" s="123">
        <f>+Assumptions!$E93/12</f>
        <v>250</v>
      </c>
      <c r="AC33" s="121">
        <f>+Assumptions!$F93/12</f>
        <v>300</v>
      </c>
      <c r="AD33" s="122">
        <f>+Assumptions!$F93/12</f>
        <v>300</v>
      </c>
      <c r="AE33" s="122">
        <f>+Assumptions!$F93/12</f>
        <v>300</v>
      </c>
      <c r="AF33" s="122">
        <f>+Assumptions!$F93/12</f>
        <v>300</v>
      </c>
      <c r="AG33" s="122">
        <f>+Assumptions!$F93/12</f>
        <v>300</v>
      </c>
      <c r="AH33" s="122">
        <f>+Assumptions!$F93/12</f>
        <v>300</v>
      </c>
      <c r="AI33" s="122">
        <f>+Assumptions!$F93/12</f>
        <v>300</v>
      </c>
      <c r="AJ33" s="122">
        <f>+Assumptions!$F93/12</f>
        <v>300</v>
      </c>
      <c r="AK33" s="122">
        <f>+Assumptions!$F93/12</f>
        <v>300</v>
      </c>
      <c r="AL33" s="122">
        <f>+Assumptions!$F93/12</f>
        <v>300</v>
      </c>
      <c r="AM33" s="122">
        <f>+Assumptions!$F93/12</f>
        <v>300</v>
      </c>
      <c r="AN33" s="123">
        <f>+Assumptions!$F93/12</f>
        <v>300</v>
      </c>
      <c r="AO33" s="121">
        <f>+Assumptions!$G93/12</f>
        <v>360</v>
      </c>
      <c r="AP33" s="122">
        <f>+Assumptions!$G93/12</f>
        <v>360</v>
      </c>
      <c r="AQ33" s="122">
        <f>+Assumptions!$G93/12</f>
        <v>360</v>
      </c>
      <c r="AR33" s="122">
        <f>+Assumptions!$G93/12</f>
        <v>360</v>
      </c>
      <c r="AS33" s="122">
        <f>+Assumptions!$G93/12</f>
        <v>360</v>
      </c>
      <c r="AT33" s="122">
        <f>+Assumptions!$G93/12</f>
        <v>360</v>
      </c>
      <c r="AU33" s="122">
        <f>+Assumptions!$G93/12</f>
        <v>360</v>
      </c>
      <c r="AV33" s="122">
        <f>+Assumptions!$G93/12</f>
        <v>360</v>
      </c>
      <c r="AW33" s="122">
        <f>+Assumptions!$G93/12</f>
        <v>360</v>
      </c>
      <c r="AX33" s="122">
        <f>+Assumptions!$G93/12</f>
        <v>360</v>
      </c>
      <c r="AY33" s="122">
        <f>+Assumptions!$G93/12</f>
        <v>360</v>
      </c>
      <c r="AZ33" s="123">
        <f>+Assumptions!$G93/12</f>
        <v>360</v>
      </c>
      <c r="BA33" s="121">
        <f>+Assumptions!$H93/12</f>
        <v>432</v>
      </c>
      <c r="BB33" s="122">
        <f>+Assumptions!$H93/12</f>
        <v>432</v>
      </c>
      <c r="BC33" s="122">
        <f>+Assumptions!$H93/12</f>
        <v>432</v>
      </c>
      <c r="BD33" s="122">
        <f>+Assumptions!$H93/12</f>
        <v>432</v>
      </c>
      <c r="BE33" s="122">
        <f>+Assumptions!$H93/12</f>
        <v>432</v>
      </c>
      <c r="BF33" s="122">
        <f>+Assumptions!$H93/12</f>
        <v>432</v>
      </c>
      <c r="BG33" s="122">
        <f>+Assumptions!$H93/12</f>
        <v>432</v>
      </c>
      <c r="BH33" s="122">
        <f>+Assumptions!$H93/12</f>
        <v>432</v>
      </c>
      <c r="BI33" s="122">
        <f>+Assumptions!$H93/12</f>
        <v>432</v>
      </c>
      <c r="BJ33" s="122">
        <f>+Assumptions!$H93/12</f>
        <v>432</v>
      </c>
      <c r="BK33" s="122">
        <f>+Assumptions!$H93/12</f>
        <v>432</v>
      </c>
      <c r="BL33" s="123">
        <f>+Assumptions!$H93/12</f>
        <v>432</v>
      </c>
    </row>
    <row r="34" spans="2:64" s="341" customFormat="1" ht="25.95" customHeight="1" outlineLevel="2">
      <c r="B34" s="347" t="str">
        <f>+Assumptions!B94</f>
        <v>Consulting &amp; Administratives</v>
      </c>
      <c r="C34" s="231"/>
      <c r="D34" s="1020">
        <f>+Assumptions!C94</f>
        <v>9000</v>
      </c>
      <c r="E34" s="122">
        <v>0</v>
      </c>
      <c r="F34" s="122">
        <v>0</v>
      </c>
      <c r="G34" s="122">
        <v>0</v>
      </c>
      <c r="H34" s="122">
        <v>0</v>
      </c>
      <c r="I34" s="122">
        <v>0</v>
      </c>
      <c r="J34" s="122">
        <v>0</v>
      </c>
      <c r="K34" s="122">
        <v>0</v>
      </c>
      <c r="L34" s="122">
        <v>0</v>
      </c>
      <c r="M34" s="122">
        <v>0</v>
      </c>
      <c r="N34" s="122">
        <f>+Assumptions!$D94/3</f>
        <v>3333.3333333333335</v>
      </c>
      <c r="O34" s="122">
        <f>+Assumptions!$D94/3</f>
        <v>3333.3333333333335</v>
      </c>
      <c r="P34" s="123">
        <f>+Assumptions!$D94/3</f>
        <v>3333.3333333333335</v>
      </c>
      <c r="Q34" s="121">
        <f>+Assumptions!$E94/12</f>
        <v>2500</v>
      </c>
      <c r="R34" s="122">
        <f>+Assumptions!$E94/12</f>
        <v>2500</v>
      </c>
      <c r="S34" s="122">
        <f>+Assumptions!$E94/12</f>
        <v>2500</v>
      </c>
      <c r="T34" s="122">
        <f>+Assumptions!$E94/12</f>
        <v>2500</v>
      </c>
      <c r="U34" s="122">
        <f>+Assumptions!$E94/12</f>
        <v>2500</v>
      </c>
      <c r="V34" s="122">
        <f>+Assumptions!$E94/12</f>
        <v>2500</v>
      </c>
      <c r="W34" s="122">
        <f>+Assumptions!$E94/12</f>
        <v>2500</v>
      </c>
      <c r="X34" s="122">
        <f>+Assumptions!$E94/12</f>
        <v>2500</v>
      </c>
      <c r="Y34" s="122">
        <f>+Assumptions!$E94/12</f>
        <v>2500</v>
      </c>
      <c r="Z34" s="122">
        <f>+Assumptions!$E94/12</f>
        <v>2500</v>
      </c>
      <c r="AA34" s="122">
        <f>+Assumptions!$E94/12</f>
        <v>2500</v>
      </c>
      <c r="AB34" s="123">
        <f>+Assumptions!$E94/12</f>
        <v>2500</v>
      </c>
      <c r="AC34" s="121">
        <f>+Assumptions!$F94/12</f>
        <v>3000</v>
      </c>
      <c r="AD34" s="122">
        <f>+Assumptions!$F94/12</f>
        <v>3000</v>
      </c>
      <c r="AE34" s="122">
        <f>+Assumptions!$F94/12</f>
        <v>3000</v>
      </c>
      <c r="AF34" s="122">
        <f>+Assumptions!$F94/12</f>
        <v>3000</v>
      </c>
      <c r="AG34" s="122">
        <f>+Assumptions!$F94/12</f>
        <v>3000</v>
      </c>
      <c r="AH34" s="122">
        <f>+Assumptions!$F94/12</f>
        <v>3000</v>
      </c>
      <c r="AI34" s="122">
        <f>+Assumptions!$F94/12</f>
        <v>3000</v>
      </c>
      <c r="AJ34" s="122">
        <f>+Assumptions!$F94/12</f>
        <v>3000</v>
      </c>
      <c r="AK34" s="122">
        <f>+Assumptions!$F94/12</f>
        <v>3000</v>
      </c>
      <c r="AL34" s="122">
        <f>+Assumptions!$F94/12</f>
        <v>3000</v>
      </c>
      <c r="AM34" s="122">
        <f>+Assumptions!$F94/12</f>
        <v>3000</v>
      </c>
      <c r="AN34" s="123">
        <f>+Assumptions!$F94/12</f>
        <v>3000</v>
      </c>
      <c r="AO34" s="121">
        <f>+Assumptions!$G94/12</f>
        <v>3600</v>
      </c>
      <c r="AP34" s="122">
        <f>+Assumptions!$G94/12</f>
        <v>3600</v>
      </c>
      <c r="AQ34" s="122">
        <f>+Assumptions!$G94/12</f>
        <v>3600</v>
      </c>
      <c r="AR34" s="122">
        <f>+Assumptions!$G94/12</f>
        <v>3600</v>
      </c>
      <c r="AS34" s="122">
        <f>+Assumptions!$G94/12</f>
        <v>3600</v>
      </c>
      <c r="AT34" s="122">
        <f>+Assumptions!$G94/12</f>
        <v>3600</v>
      </c>
      <c r="AU34" s="122">
        <f>+Assumptions!$G94/12</f>
        <v>3600</v>
      </c>
      <c r="AV34" s="122">
        <f>+Assumptions!$G94/12</f>
        <v>3600</v>
      </c>
      <c r="AW34" s="122">
        <f>+Assumptions!$G94/12</f>
        <v>3600</v>
      </c>
      <c r="AX34" s="122">
        <f>+Assumptions!$G94/12</f>
        <v>3600</v>
      </c>
      <c r="AY34" s="122">
        <f>+Assumptions!$G94/12</f>
        <v>3600</v>
      </c>
      <c r="AZ34" s="123">
        <f>+Assumptions!$G94/12</f>
        <v>3600</v>
      </c>
      <c r="BA34" s="121">
        <f>+Assumptions!$H94/12</f>
        <v>4320</v>
      </c>
      <c r="BB34" s="122">
        <f>+Assumptions!$H94/12</f>
        <v>4320</v>
      </c>
      <c r="BC34" s="122">
        <f>+Assumptions!$H94/12</f>
        <v>4320</v>
      </c>
      <c r="BD34" s="122">
        <f>+Assumptions!$H94/12</f>
        <v>4320</v>
      </c>
      <c r="BE34" s="122">
        <f>+Assumptions!$H94/12</f>
        <v>4320</v>
      </c>
      <c r="BF34" s="122">
        <f>+Assumptions!$H94/12</f>
        <v>4320</v>
      </c>
      <c r="BG34" s="122">
        <f>+Assumptions!$H94/12</f>
        <v>4320</v>
      </c>
      <c r="BH34" s="122">
        <f>+Assumptions!$H94/12</f>
        <v>4320</v>
      </c>
      <c r="BI34" s="122">
        <f>+Assumptions!$H94/12</f>
        <v>4320</v>
      </c>
      <c r="BJ34" s="122">
        <f>+Assumptions!$H94/12</f>
        <v>4320</v>
      </c>
      <c r="BK34" s="122">
        <f>+Assumptions!$H94/12</f>
        <v>4320</v>
      </c>
      <c r="BL34" s="123">
        <f>+Assumptions!$H94/12</f>
        <v>4320</v>
      </c>
    </row>
    <row r="35" spans="2:64" s="341" customFormat="1" ht="25.95" customHeight="1" outlineLevel="2">
      <c r="B35" s="1567" t="str">
        <f>+Assumptions!B95</f>
        <v>Insurances</v>
      </c>
      <c r="C35" s="1568"/>
      <c r="D35" s="1020">
        <v>0</v>
      </c>
      <c r="E35" s="122">
        <v>0</v>
      </c>
      <c r="F35" s="122">
        <v>0</v>
      </c>
      <c r="G35" s="122">
        <v>0</v>
      </c>
      <c r="H35" s="122">
        <v>0</v>
      </c>
      <c r="I35" s="122">
        <v>0</v>
      </c>
      <c r="J35" s="122">
        <v>0</v>
      </c>
      <c r="K35" s="122">
        <v>0</v>
      </c>
      <c r="L35" s="122">
        <v>0</v>
      </c>
      <c r="M35" s="122">
        <v>0</v>
      </c>
      <c r="N35" s="122">
        <f>+Assumptions!$D95/3</f>
        <v>200</v>
      </c>
      <c r="O35" s="122">
        <f>+Assumptions!$D95/3</f>
        <v>200</v>
      </c>
      <c r="P35" s="123">
        <f>+Assumptions!$D95/3</f>
        <v>200</v>
      </c>
      <c r="Q35" s="121">
        <f>+Assumptions!$E95/12</f>
        <v>55</v>
      </c>
      <c r="R35" s="122">
        <f>+Assumptions!$E95/12</f>
        <v>55</v>
      </c>
      <c r="S35" s="122">
        <f>+Assumptions!$E95/12</f>
        <v>55</v>
      </c>
      <c r="T35" s="122">
        <f>+Assumptions!$E95/12</f>
        <v>55</v>
      </c>
      <c r="U35" s="122">
        <f>+Assumptions!$E95/12</f>
        <v>55</v>
      </c>
      <c r="V35" s="122">
        <f>+Assumptions!$E95/12</f>
        <v>55</v>
      </c>
      <c r="W35" s="122">
        <f>+Assumptions!$E95/12</f>
        <v>55</v>
      </c>
      <c r="X35" s="122">
        <f>+Assumptions!$E95/12</f>
        <v>55</v>
      </c>
      <c r="Y35" s="122">
        <f>+Assumptions!$E95/12</f>
        <v>55</v>
      </c>
      <c r="Z35" s="122">
        <f>+Assumptions!$E95/12</f>
        <v>55</v>
      </c>
      <c r="AA35" s="122">
        <f>+Assumptions!$E95/12</f>
        <v>55</v>
      </c>
      <c r="AB35" s="123">
        <f>+Assumptions!$E95/12</f>
        <v>55</v>
      </c>
      <c r="AC35" s="121">
        <f>+Assumptions!$F95/12</f>
        <v>60.50000000000001</v>
      </c>
      <c r="AD35" s="122">
        <f>+Assumptions!$F95/12</f>
        <v>60.50000000000001</v>
      </c>
      <c r="AE35" s="122">
        <f>+Assumptions!$F95/12</f>
        <v>60.50000000000001</v>
      </c>
      <c r="AF35" s="122">
        <f>+Assumptions!$F95/12</f>
        <v>60.50000000000001</v>
      </c>
      <c r="AG35" s="122">
        <f>+Assumptions!$F95/12</f>
        <v>60.50000000000001</v>
      </c>
      <c r="AH35" s="122">
        <f>+Assumptions!$F95/12</f>
        <v>60.50000000000001</v>
      </c>
      <c r="AI35" s="122">
        <f>+Assumptions!$F95/12</f>
        <v>60.50000000000001</v>
      </c>
      <c r="AJ35" s="122">
        <f>+Assumptions!$F95/12</f>
        <v>60.50000000000001</v>
      </c>
      <c r="AK35" s="122">
        <f>+Assumptions!$F95/12</f>
        <v>60.50000000000001</v>
      </c>
      <c r="AL35" s="122">
        <f>+Assumptions!$F95/12</f>
        <v>60.50000000000001</v>
      </c>
      <c r="AM35" s="122">
        <f>+Assumptions!$F95/12</f>
        <v>60.50000000000001</v>
      </c>
      <c r="AN35" s="123">
        <f>+Assumptions!$F95/12</f>
        <v>60.50000000000001</v>
      </c>
      <c r="AO35" s="121">
        <f>+Assumptions!$G95/12</f>
        <v>66.55000000000001</v>
      </c>
      <c r="AP35" s="122">
        <f>+Assumptions!$G95/12</f>
        <v>66.55000000000001</v>
      </c>
      <c r="AQ35" s="122">
        <f>+Assumptions!$G95/12</f>
        <v>66.55000000000001</v>
      </c>
      <c r="AR35" s="122">
        <f>+Assumptions!$G95/12</f>
        <v>66.55000000000001</v>
      </c>
      <c r="AS35" s="122">
        <f>+Assumptions!$G95/12</f>
        <v>66.55000000000001</v>
      </c>
      <c r="AT35" s="122">
        <f>+Assumptions!$G95/12</f>
        <v>66.55000000000001</v>
      </c>
      <c r="AU35" s="122">
        <f>+Assumptions!$G95/12</f>
        <v>66.55000000000001</v>
      </c>
      <c r="AV35" s="122">
        <f>+Assumptions!$G95/12</f>
        <v>66.55000000000001</v>
      </c>
      <c r="AW35" s="122">
        <f>+Assumptions!$G95/12</f>
        <v>66.55000000000001</v>
      </c>
      <c r="AX35" s="122">
        <f>+Assumptions!$G95/12</f>
        <v>66.55000000000001</v>
      </c>
      <c r="AY35" s="122">
        <f>+Assumptions!$G95/12</f>
        <v>66.55000000000001</v>
      </c>
      <c r="AZ35" s="123">
        <f>+Assumptions!$G95/12</f>
        <v>66.55000000000001</v>
      </c>
      <c r="BA35" s="121">
        <f>+Assumptions!$H95/12</f>
        <v>73.20500000000003</v>
      </c>
      <c r="BB35" s="122">
        <f>+Assumptions!$H95/12</f>
        <v>73.20500000000003</v>
      </c>
      <c r="BC35" s="122">
        <f>+Assumptions!$H95/12</f>
        <v>73.20500000000003</v>
      </c>
      <c r="BD35" s="122">
        <f>+Assumptions!$H95/12</f>
        <v>73.20500000000003</v>
      </c>
      <c r="BE35" s="122">
        <f>+Assumptions!$H95/12</f>
        <v>73.20500000000003</v>
      </c>
      <c r="BF35" s="122">
        <f>+Assumptions!$H95/12</f>
        <v>73.20500000000003</v>
      </c>
      <c r="BG35" s="122">
        <f>+Assumptions!$H95/12</f>
        <v>73.20500000000003</v>
      </c>
      <c r="BH35" s="122">
        <f>+Assumptions!$H95/12</f>
        <v>73.20500000000003</v>
      </c>
      <c r="BI35" s="122">
        <f>+Assumptions!$H95/12</f>
        <v>73.20500000000003</v>
      </c>
      <c r="BJ35" s="122">
        <f>+Assumptions!$H95/12</f>
        <v>73.20500000000003</v>
      </c>
      <c r="BK35" s="122">
        <f>+Assumptions!$H95/12</f>
        <v>73.20500000000003</v>
      </c>
      <c r="BL35" s="123">
        <f>+Assumptions!$H95/12</f>
        <v>73.20500000000003</v>
      </c>
    </row>
    <row r="36" spans="2:64" s="341" customFormat="1" ht="25.95" customHeight="1" outlineLevel="2">
      <c r="B36" s="1567" t="str">
        <f>+Assumptions!B96</f>
        <v>Rent Expenses</v>
      </c>
      <c r="C36" s="1568"/>
      <c r="D36" s="1020">
        <v>0</v>
      </c>
      <c r="E36" s="122">
        <f>+Assumptions!$D96/12</f>
        <v>0</v>
      </c>
      <c r="F36" s="122">
        <f>+Assumptions!$D96/12</f>
        <v>0</v>
      </c>
      <c r="G36" s="122">
        <f>+Assumptions!$D96/12</f>
        <v>0</v>
      </c>
      <c r="H36" s="122">
        <f>+Assumptions!$D96/12</f>
        <v>0</v>
      </c>
      <c r="I36" s="122">
        <f>+Assumptions!$D96/12</f>
        <v>0</v>
      </c>
      <c r="J36" s="122">
        <f>+Assumptions!$D96/12</f>
        <v>0</v>
      </c>
      <c r="K36" s="122">
        <f>+Assumptions!$D96/12</f>
        <v>0</v>
      </c>
      <c r="L36" s="122">
        <f>+Assumptions!$D96/12</f>
        <v>0</v>
      </c>
      <c r="M36" s="122">
        <f>+Assumptions!$D96/12</f>
        <v>0</v>
      </c>
      <c r="N36" s="122">
        <f>+Assumptions!$D96/12</f>
        <v>0</v>
      </c>
      <c r="O36" s="122">
        <f>+Assumptions!$D96/12</f>
        <v>0</v>
      </c>
      <c r="P36" s="123">
        <f>+Assumptions!$D96/12</f>
        <v>0</v>
      </c>
      <c r="Q36" s="121">
        <f>+Assumptions!$E96/12</f>
        <v>833.3333333333334</v>
      </c>
      <c r="R36" s="122">
        <f>+Assumptions!$E96/12</f>
        <v>833.3333333333334</v>
      </c>
      <c r="S36" s="122">
        <f>+Assumptions!$E96/12</f>
        <v>833.3333333333334</v>
      </c>
      <c r="T36" s="122">
        <f>+Assumptions!$E96/12</f>
        <v>833.3333333333334</v>
      </c>
      <c r="U36" s="122">
        <f>+Assumptions!$E96/12</f>
        <v>833.3333333333334</v>
      </c>
      <c r="V36" s="122">
        <f>+Assumptions!$E96/12</f>
        <v>833.3333333333334</v>
      </c>
      <c r="W36" s="122">
        <f>+Assumptions!$E96/12</f>
        <v>833.3333333333334</v>
      </c>
      <c r="X36" s="122">
        <f>+Assumptions!$E96/12</f>
        <v>833.3333333333334</v>
      </c>
      <c r="Y36" s="122">
        <f>+Assumptions!$E96/12</f>
        <v>833.3333333333334</v>
      </c>
      <c r="Z36" s="122">
        <f>+Assumptions!$E96/12</f>
        <v>833.3333333333334</v>
      </c>
      <c r="AA36" s="122">
        <f>+Assumptions!$E96/12</f>
        <v>833.3333333333334</v>
      </c>
      <c r="AB36" s="123">
        <f>+Assumptions!$E96/12</f>
        <v>833.3333333333334</v>
      </c>
      <c r="AC36" s="121">
        <f>+Assumptions!$F96/12</f>
        <v>916.6666666666666</v>
      </c>
      <c r="AD36" s="122">
        <f>+Assumptions!$F96/12</f>
        <v>916.6666666666666</v>
      </c>
      <c r="AE36" s="122">
        <f>+Assumptions!$F96/12</f>
        <v>916.6666666666666</v>
      </c>
      <c r="AF36" s="122">
        <f>+Assumptions!$F96/12</f>
        <v>916.6666666666666</v>
      </c>
      <c r="AG36" s="122">
        <f>+Assumptions!$F96/12</f>
        <v>916.6666666666666</v>
      </c>
      <c r="AH36" s="122">
        <f>+Assumptions!$F96/12</f>
        <v>916.6666666666666</v>
      </c>
      <c r="AI36" s="122">
        <f>+Assumptions!$F96/12</f>
        <v>916.6666666666666</v>
      </c>
      <c r="AJ36" s="122">
        <f>+Assumptions!$F96/12</f>
        <v>916.6666666666666</v>
      </c>
      <c r="AK36" s="122">
        <f>+Assumptions!$F96/12</f>
        <v>916.6666666666666</v>
      </c>
      <c r="AL36" s="122">
        <f>+Assumptions!$F96/12</f>
        <v>916.6666666666666</v>
      </c>
      <c r="AM36" s="122">
        <f>+Assumptions!$F96/12</f>
        <v>916.6666666666666</v>
      </c>
      <c r="AN36" s="123">
        <f>+Assumptions!$F96/12</f>
        <v>916.6666666666666</v>
      </c>
      <c r="AO36" s="121">
        <f>+Assumptions!$G96/12</f>
        <v>1008.3333333333335</v>
      </c>
      <c r="AP36" s="122">
        <f>+Assumptions!$G96/12</f>
        <v>1008.3333333333335</v>
      </c>
      <c r="AQ36" s="122">
        <f>+Assumptions!$G96/12</f>
        <v>1008.3333333333335</v>
      </c>
      <c r="AR36" s="122">
        <f>+Assumptions!$G96/12</f>
        <v>1008.3333333333335</v>
      </c>
      <c r="AS36" s="122">
        <f>+Assumptions!$G96/12</f>
        <v>1008.3333333333335</v>
      </c>
      <c r="AT36" s="122">
        <f>+Assumptions!$G96/12</f>
        <v>1008.3333333333335</v>
      </c>
      <c r="AU36" s="122">
        <f>+Assumptions!$G96/12</f>
        <v>1008.3333333333335</v>
      </c>
      <c r="AV36" s="122">
        <f>+Assumptions!$G96/12</f>
        <v>1008.3333333333335</v>
      </c>
      <c r="AW36" s="122">
        <f>+Assumptions!$G96/12</f>
        <v>1008.3333333333335</v>
      </c>
      <c r="AX36" s="122">
        <f>+Assumptions!$G96/12</f>
        <v>1008.3333333333335</v>
      </c>
      <c r="AY36" s="122">
        <f>+Assumptions!$G96/12</f>
        <v>1008.3333333333335</v>
      </c>
      <c r="AZ36" s="123">
        <f>+Assumptions!$G96/12</f>
        <v>1008.3333333333335</v>
      </c>
      <c r="BA36" s="121">
        <f>+Assumptions!$H96/12</f>
        <v>1109.166666666667</v>
      </c>
      <c r="BB36" s="122">
        <f>+Assumptions!$H96/12</f>
        <v>1109.166666666667</v>
      </c>
      <c r="BC36" s="122">
        <f>+Assumptions!$H96/12</f>
        <v>1109.166666666667</v>
      </c>
      <c r="BD36" s="122">
        <f>+Assumptions!$H96/12</f>
        <v>1109.166666666667</v>
      </c>
      <c r="BE36" s="122">
        <f>+Assumptions!$H96/12</f>
        <v>1109.166666666667</v>
      </c>
      <c r="BF36" s="122">
        <f>+Assumptions!$H96/12</f>
        <v>1109.166666666667</v>
      </c>
      <c r="BG36" s="122">
        <f>+Assumptions!$H96/12</f>
        <v>1109.166666666667</v>
      </c>
      <c r="BH36" s="122">
        <f>+Assumptions!$H96/12</f>
        <v>1109.166666666667</v>
      </c>
      <c r="BI36" s="122">
        <f>+Assumptions!$H96/12</f>
        <v>1109.166666666667</v>
      </c>
      <c r="BJ36" s="122">
        <f>+Assumptions!$H96/12</f>
        <v>1109.166666666667</v>
      </c>
      <c r="BK36" s="122">
        <f>+Assumptions!$H96/12</f>
        <v>1109.166666666667</v>
      </c>
      <c r="BL36" s="123">
        <f>+Assumptions!$H96/12</f>
        <v>1109.166666666667</v>
      </c>
    </row>
    <row r="37" spans="2:64" s="341" customFormat="1" ht="25.95" customHeight="1" outlineLevel="2">
      <c r="B37" s="1567" t="str">
        <f>+Assumptions!B97</f>
        <v>Utilities</v>
      </c>
      <c r="C37" s="1568"/>
      <c r="D37" s="1020">
        <v>0</v>
      </c>
      <c r="E37" s="122">
        <f>+Assumptions!$D97/12</f>
        <v>0</v>
      </c>
      <c r="F37" s="122">
        <f>+Assumptions!$D97/12</f>
        <v>0</v>
      </c>
      <c r="G37" s="122">
        <f>+Assumptions!$D97/12</f>
        <v>0</v>
      </c>
      <c r="H37" s="122">
        <f>+Assumptions!$D97/12</f>
        <v>0</v>
      </c>
      <c r="I37" s="122">
        <f>+Assumptions!$D97/12</f>
        <v>0</v>
      </c>
      <c r="J37" s="122">
        <f>+Assumptions!$D97/12</f>
        <v>0</v>
      </c>
      <c r="K37" s="122">
        <f>+Assumptions!$D97/12</f>
        <v>0</v>
      </c>
      <c r="L37" s="122">
        <f>+Assumptions!$D97/12</f>
        <v>0</v>
      </c>
      <c r="M37" s="122">
        <f>+Assumptions!$D97/12</f>
        <v>0</v>
      </c>
      <c r="N37" s="122">
        <f>+Assumptions!$D97/12</f>
        <v>0</v>
      </c>
      <c r="O37" s="122">
        <f>+Assumptions!$D97/12</f>
        <v>0</v>
      </c>
      <c r="P37" s="123">
        <f>+Assumptions!$D97/12</f>
        <v>0</v>
      </c>
      <c r="Q37" s="121">
        <f>+Assumptions!$E97/12</f>
        <v>41.666666666666664</v>
      </c>
      <c r="R37" s="122">
        <f>+Assumptions!$E97/12</f>
        <v>41.666666666666664</v>
      </c>
      <c r="S37" s="122">
        <f>+Assumptions!$E97/12</f>
        <v>41.666666666666664</v>
      </c>
      <c r="T37" s="122">
        <f>+Assumptions!$E97/12</f>
        <v>41.666666666666664</v>
      </c>
      <c r="U37" s="122">
        <f>+Assumptions!$E97/12</f>
        <v>41.666666666666664</v>
      </c>
      <c r="V37" s="122">
        <f>+Assumptions!$E97/12</f>
        <v>41.666666666666664</v>
      </c>
      <c r="W37" s="122">
        <f>+Assumptions!$E97/12</f>
        <v>41.666666666666664</v>
      </c>
      <c r="X37" s="122">
        <f>+Assumptions!$E97/12</f>
        <v>41.666666666666664</v>
      </c>
      <c r="Y37" s="122">
        <f>+Assumptions!$E97/12</f>
        <v>41.666666666666664</v>
      </c>
      <c r="Z37" s="122">
        <f>+Assumptions!$E97/12</f>
        <v>41.666666666666664</v>
      </c>
      <c r="AA37" s="122">
        <f>+Assumptions!$E97/12</f>
        <v>41.666666666666664</v>
      </c>
      <c r="AB37" s="123">
        <f>+Assumptions!$E97/12</f>
        <v>41.666666666666664</v>
      </c>
      <c r="AC37" s="121">
        <f>+Assumptions!$F97/12</f>
        <v>45.833333333333336</v>
      </c>
      <c r="AD37" s="122">
        <f>+Assumptions!$F97/12</f>
        <v>45.833333333333336</v>
      </c>
      <c r="AE37" s="122">
        <f>+Assumptions!$F97/12</f>
        <v>45.833333333333336</v>
      </c>
      <c r="AF37" s="122">
        <f>+Assumptions!$F97/12</f>
        <v>45.833333333333336</v>
      </c>
      <c r="AG37" s="122">
        <f>+Assumptions!$F97/12</f>
        <v>45.833333333333336</v>
      </c>
      <c r="AH37" s="122">
        <f>+Assumptions!$F97/12</f>
        <v>45.833333333333336</v>
      </c>
      <c r="AI37" s="122">
        <f>+Assumptions!$F97/12</f>
        <v>45.833333333333336</v>
      </c>
      <c r="AJ37" s="122">
        <f>+Assumptions!$F97/12</f>
        <v>45.833333333333336</v>
      </c>
      <c r="AK37" s="122">
        <f>+Assumptions!$F97/12</f>
        <v>45.833333333333336</v>
      </c>
      <c r="AL37" s="122">
        <f>+Assumptions!$F97/12</f>
        <v>45.833333333333336</v>
      </c>
      <c r="AM37" s="122">
        <f>+Assumptions!$F97/12</f>
        <v>45.833333333333336</v>
      </c>
      <c r="AN37" s="123">
        <f>+Assumptions!$F97/12</f>
        <v>45.833333333333336</v>
      </c>
      <c r="AO37" s="121">
        <f>+Assumptions!$G97/12</f>
        <v>50.416666666666664</v>
      </c>
      <c r="AP37" s="122">
        <f>+Assumptions!$G97/12</f>
        <v>50.416666666666664</v>
      </c>
      <c r="AQ37" s="122">
        <f>+Assumptions!$G97/12</f>
        <v>50.416666666666664</v>
      </c>
      <c r="AR37" s="122">
        <f>+Assumptions!$G97/12</f>
        <v>50.416666666666664</v>
      </c>
      <c r="AS37" s="122">
        <f>+Assumptions!$G97/12</f>
        <v>50.416666666666664</v>
      </c>
      <c r="AT37" s="122">
        <f>+Assumptions!$G97/12</f>
        <v>50.416666666666664</v>
      </c>
      <c r="AU37" s="122">
        <f>+Assumptions!$G97/12</f>
        <v>50.416666666666664</v>
      </c>
      <c r="AV37" s="122">
        <f>+Assumptions!$G97/12</f>
        <v>50.416666666666664</v>
      </c>
      <c r="AW37" s="122">
        <f>+Assumptions!$G97/12</f>
        <v>50.416666666666664</v>
      </c>
      <c r="AX37" s="122">
        <f>+Assumptions!$G97/12</f>
        <v>50.416666666666664</v>
      </c>
      <c r="AY37" s="122">
        <f>+Assumptions!$G97/12</f>
        <v>50.416666666666664</v>
      </c>
      <c r="AZ37" s="123">
        <f>+Assumptions!$G97/12</f>
        <v>50.416666666666664</v>
      </c>
      <c r="BA37" s="121">
        <f>+Assumptions!$H97/12</f>
        <v>55.458333333333336</v>
      </c>
      <c r="BB37" s="122">
        <f>+Assumptions!$H97/12</f>
        <v>55.458333333333336</v>
      </c>
      <c r="BC37" s="122">
        <f>+Assumptions!$H97/12</f>
        <v>55.458333333333336</v>
      </c>
      <c r="BD37" s="122">
        <f>+Assumptions!$H97/12</f>
        <v>55.458333333333336</v>
      </c>
      <c r="BE37" s="122">
        <f>+Assumptions!$H97/12</f>
        <v>55.458333333333336</v>
      </c>
      <c r="BF37" s="122">
        <f>+Assumptions!$H97/12</f>
        <v>55.458333333333336</v>
      </c>
      <c r="BG37" s="122">
        <f>+Assumptions!$H97/12</f>
        <v>55.458333333333336</v>
      </c>
      <c r="BH37" s="122">
        <f>+Assumptions!$H97/12</f>
        <v>55.458333333333336</v>
      </c>
      <c r="BI37" s="122">
        <f>+Assumptions!$H97/12</f>
        <v>55.458333333333336</v>
      </c>
      <c r="BJ37" s="122">
        <f>+Assumptions!$H97/12</f>
        <v>55.458333333333336</v>
      </c>
      <c r="BK37" s="122">
        <f>+Assumptions!$H97/12</f>
        <v>55.458333333333336</v>
      </c>
      <c r="BL37" s="123">
        <f>+Assumptions!$H97/12</f>
        <v>55.458333333333336</v>
      </c>
    </row>
    <row r="38" spans="2:64" s="341" customFormat="1" ht="25.95" customHeight="1" outlineLevel="2">
      <c r="B38" s="1567" t="str">
        <f>+Assumptions!B98</f>
        <v>Other expenses</v>
      </c>
      <c r="C38" s="1568"/>
      <c r="D38" s="1020">
        <v>206</v>
      </c>
      <c r="E38" s="122">
        <f>+Assumptions!$D98/12</f>
        <v>0</v>
      </c>
      <c r="F38" s="122">
        <f>+Assumptions!$D98/12</f>
        <v>0</v>
      </c>
      <c r="G38" s="122">
        <f>+Assumptions!$D98/12</f>
        <v>0</v>
      </c>
      <c r="H38" s="122">
        <f>+Assumptions!$D98/12</f>
        <v>0</v>
      </c>
      <c r="I38" s="122">
        <f>+Assumptions!$D98/12</f>
        <v>0</v>
      </c>
      <c r="J38" s="122">
        <f>+Assumptions!$D98/12</f>
        <v>0</v>
      </c>
      <c r="K38" s="731">
        <f>+Assumptions!$D98/12</f>
        <v>0</v>
      </c>
      <c r="L38" s="122">
        <f>+Assumptions!$D98/12</f>
        <v>0</v>
      </c>
      <c r="M38" s="122">
        <f>+Assumptions!$D98/12</f>
        <v>0</v>
      </c>
      <c r="N38" s="122">
        <f>+Assumptions!$D98/12</f>
        <v>0</v>
      </c>
      <c r="O38" s="122">
        <f>+Assumptions!$D98/12</f>
        <v>0</v>
      </c>
      <c r="P38" s="123">
        <f>+Assumptions!$D98/12</f>
        <v>0</v>
      </c>
      <c r="Q38" s="121">
        <f>+Assumptions!$E98/12</f>
        <v>416.6666666666667</v>
      </c>
      <c r="R38" s="122">
        <f>+Assumptions!$E98/12</f>
        <v>416.6666666666667</v>
      </c>
      <c r="S38" s="122">
        <f>+Assumptions!$E98/12</f>
        <v>416.6666666666667</v>
      </c>
      <c r="T38" s="122">
        <f>+Assumptions!$E98/12</f>
        <v>416.6666666666667</v>
      </c>
      <c r="U38" s="122">
        <f>+Assumptions!$E98/12</f>
        <v>416.6666666666667</v>
      </c>
      <c r="V38" s="122">
        <f>+Assumptions!$E98/12</f>
        <v>416.6666666666667</v>
      </c>
      <c r="W38" s="122">
        <f>+Assumptions!$E98/12</f>
        <v>416.6666666666667</v>
      </c>
      <c r="X38" s="122">
        <f>+Assumptions!$E98/12</f>
        <v>416.6666666666667</v>
      </c>
      <c r="Y38" s="122">
        <f>+Assumptions!$E98/12</f>
        <v>416.6666666666667</v>
      </c>
      <c r="Z38" s="122">
        <f>+Assumptions!$E98/12</f>
        <v>416.6666666666667</v>
      </c>
      <c r="AA38" s="122">
        <f>+Assumptions!$E98/12</f>
        <v>416.6666666666667</v>
      </c>
      <c r="AB38" s="123">
        <f>+Assumptions!$E98/12</f>
        <v>416.6666666666667</v>
      </c>
      <c r="AC38" s="121">
        <f>+Assumptions!$F98/12</f>
        <v>458.3333333333333</v>
      </c>
      <c r="AD38" s="122">
        <f>+Assumptions!$F98/12</f>
        <v>458.3333333333333</v>
      </c>
      <c r="AE38" s="122">
        <f>+Assumptions!$F98/12</f>
        <v>458.3333333333333</v>
      </c>
      <c r="AF38" s="122">
        <f>+Assumptions!$F98/12</f>
        <v>458.3333333333333</v>
      </c>
      <c r="AG38" s="122">
        <f>+Assumptions!$F98/12</f>
        <v>458.3333333333333</v>
      </c>
      <c r="AH38" s="122">
        <f>+Assumptions!$F98/12</f>
        <v>458.3333333333333</v>
      </c>
      <c r="AI38" s="122">
        <f>+Assumptions!$F98/12</f>
        <v>458.3333333333333</v>
      </c>
      <c r="AJ38" s="122">
        <f>+Assumptions!$F98/12</f>
        <v>458.3333333333333</v>
      </c>
      <c r="AK38" s="122">
        <f>+Assumptions!$F98/12</f>
        <v>458.3333333333333</v>
      </c>
      <c r="AL38" s="122">
        <f>+Assumptions!$F98/12</f>
        <v>458.3333333333333</v>
      </c>
      <c r="AM38" s="122">
        <f>+Assumptions!$F98/12</f>
        <v>458.3333333333333</v>
      </c>
      <c r="AN38" s="123">
        <f>+Assumptions!$F98/12</f>
        <v>458.3333333333333</v>
      </c>
      <c r="AO38" s="121">
        <f>+Assumptions!$G98/12</f>
        <v>504.16666666666674</v>
      </c>
      <c r="AP38" s="122">
        <f>+Assumptions!$G98/12</f>
        <v>504.16666666666674</v>
      </c>
      <c r="AQ38" s="122">
        <f>+Assumptions!$G98/12</f>
        <v>504.16666666666674</v>
      </c>
      <c r="AR38" s="122">
        <f>+Assumptions!$G98/12</f>
        <v>504.16666666666674</v>
      </c>
      <c r="AS38" s="122">
        <f>+Assumptions!$G98/12</f>
        <v>504.16666666666674</v>
      </c>
      <c r="AT38" s="122">
        <f>+Assumptions!$G98/12</f>
        <v>504.16666666666674</v>
      </c>
      <c r="AU38" s="122">
        <f>+Assumptions!$G98/12</f>
        <v>504.16666666666674</v>
      </c>
      <c r="AV38" s="122">
        <f>+Assumptions!$G98/12</f>
        <v>504.16666666666674</v>
      </c>
      <c r="AW38" s="122">
        <f>+Assumptions!$G98/12</f>
        <v>504.16666666666674</v>
      </c>
      <c r="AX38" s="122">
        <f>+Assumptions!$G98/12</f>
        <v>504.16666666666674</v>
      </c>
      <c r="AY38" s="122">
        <f>+Assumptions!$G98/12</f>
        <v>504.16666666666674</v>
      </c>
      <c r="AZ38" s="123">
        <f>+Assumptions!$G98/12</f>
        <v>504.16666666666674</v>
      </c>
      <c r="BA38" s="121">
        <f>+Assumptions!$H98/12</f>
        <v>554.5833333333335</v>
      </c>
      <c r="BB38" s="122">
        <f>+Assumptions!$H98/12</f>
        <v>554.5833333333335</v>
      </c>
      <c r="BC38" s="122">
        <f>+Assumptions!$H98/12</f>
        <v>554.5833333333335</v>
      </c>
      <c r="BD38" s="122">
        <f>+Assumptions!$H98/12</f>
        <v>554.5833333333335</v>
      </c>
      <c r="BE38" s="122">
        <f>+Assumptions!$H98/12</f>
        <v>554.5833333333335</v>
      </c>
      <c r="BF38" s="122">
        <f>+Assumptions!$H98/12</f>
        <v>554.5833333333335</v>
      </c>
      <c r="BG38" s="122">
        <f>+Assumptions!$H98/12</f>
        <v>554.5833333333335</v>
      </c>
      <c r="BH38" s="122">
        <f>+Assumptions!$H98/12</f>
        <v>554.5833333333335</v>
      </c>
      <c r="BI38" s="122">
        <f>+Assumptions!$H98/12</f>
        <v>554.5833333333335</v>
      </c>
      <c r="BJ38" s="122">
        <f>+Assumptions!$H98/12</f>
        <v>554.5833333333335</v>
      </c>
      <c r="BK38" s="122">
        <f>+Assumptions!$H98/12</f>
        <v>554.5833333333335</v>
      </c>
      <c r="BL38" s="123">
        <f>+Assumptions!$H98/12</f>
        <v>554.5833333333335</v>
      </c>
    </row>
    <row r="39" spans="2:64" s="341" customFormat="1" ht="25.95" customHeight="1" outlineLevel="2">
      <c r="B39" s="1567" t="str">
        <f>+Assumptions!B99</f>
        <v>Management Compensation</v>
      </c>
      <c r="C39" s="1568"/>
      <c r="D39" s="1020">
        <f>+Assumptions!C99</f>
        <v>9000</v>
      </c>
      <c r="E39" s="122">
        <f>+Assumptions!$D99/12</f>
        <v>0</v>
      </c>
      <c r="F39" s="122">
        <f>+Assumptions!$D99/12</f>
        <v>0</v>
      </c>
      <c r="G39" s="122">
        <f>+Assumptions!$D99/12</f>
        <v>0</v>
      </c>
      <c r="H39" s="122">
        <f>+Assumptions!$D99/12</f>
        <v>0</v>
      </c>
      <c r="I39" s="122">
        <f>+Assumptions!$D99/12</f>
        <v>0</v>
      </c>
      <c r="J39" s="122">
        <f>+Assumptions!$D99/12</f>
        <v>0</v>
      </c>
      <c r="K39" s="122">
        <f>+Assumptions!$D99/12</f>
        <v>0</v>
      </c>
      <c r="L39" s="122">
        <f>+Assumptions!$D99/12</f>
        <v>0</v>
      </c>
      <c r="M39" s="122">
        <f>+Assumptions!$D99/12</f>
        <v>0</v>
      </c>
      <c r="N39" s="122">
        <f>+Assumptions!$D99/12</f>
        <v>0</v>
      </c>
      <c r="O39" s="122">
        <f>+Assumptions!$D99/12</f>
        <v>0</v>
      </c>
      <c r="P39" s="123">
        <f>+Assumptions!$D99/12</f>
        <v>0</v>
      </c>
      <c r="Q39" s="121">
        <f>+Assumptions!$E99/12</f>
        <v>4166.666666666667</v>
      </c>
      <c r="R39" s="122">
        <f>+Assumptions!$E99/12</f>
        <v>4166.666666666667</v>
      </c>
      <c r="S39" s="122">
        <f>+Assumptions!$E99/12</f>
        <v>4166.666666666667</v>
      </c>
      <c r="T39" s="122">
        <f>+Assumptions!$E99/12</f>
        <v>4166.666666666667</v>
      </c>
      <c r="U39" s="122">
        <f>+Assumptions!$E99/12</f>
        <v>4166.666666666667</v>
      </c>
      <c r="V39" s="122">
        <f>+Assumptions!$E99/12</f>
        <v>4166.666666666667</v>
      </c>
      <c r="W39" s="122">
        <f>+Assumptions!$E99/12</f>
        <v>4166.666666666667</v>
      </c>
      <c r="X39" s="122">
        <f>+Assumptions!$E99/12</f>
        <v>4166.666666666667</v>
      </c>
      <c r="Y39" s="122">
        <f>+Assumptions!$E99/12</f>
        <v>4166.666666666667</v>
      </c>
      <c r="Z39" s="122">
        <f>+Assumptions!$E99/12</f>
        <v>4166.666666666667</v>
      </c>
      <c r="AA39" s="122">
        <f>+Assumptions!$E99/12</f>
        <v>4166.666666666667</v>
      </c>
      <c r="AB39" s="123">
        <f>+Assumptions!$E99/12</f>
        <v>4166.666666666667</v>
      </c>
      <c r="AC39" s="121">
        <f>+Assumptions!$F99/12</f>
        <v>5000</v>
      </c>
      <c r="AD39" s="122">
        <f>+Assumptions!$F99/12</f>
        <v>5000</v>
      </c>
      <c r="AE39" s="122">
        <f>+Assumptions!$F99/12</f>
        <v>5000</v>
      </c>
      <c r="AF39" s="122">
        <f>+Assumptions!$F99/12</f>
        <v>5000</v>
      </c>
      <c r="AG39" s="122">
        <f>+Assumptions!$F99/12</f>
        <v>5000</v>
      </c>
      <c r="AH39" s="122">
        <f>+Assumptions!$F99/12</f>
        <v>5000</v>
      </c>
      <c r="AI39" s="122">
        <f>+Assumptions!$F99/12</f>
        <v>5000</v>
      </c>
      <c r="AJ39" s="122">
        <f>+Assumptions!$F99/12</f>
        <v>5000</v>
      </c>
      <c r="AK39" s="122">
        <f>+Assumptions!$F99/12</f>
        <v>5000</v>
      </c>
      <c r="AL39" s="122">
        <f>+Assumptions!$F99/12</f>
        <v>5000</v>
      </c>
      <c r="AM39" s="122">
        <f>+Assumptions!$F99/12</f>
        <v>5000</v>
      </c>
      <c r="AN39" s="123">
        <f>+Assumptions!$F99/12</f>
        <v>5000</v>
      </c>
      <c r="AO39" s="121">
        <f>+Assumptions!$G99/12</f>
        <v>5833.333333333333</v>
      </c>
      <c r="AP39" s="122">
        <f>+Assumptions!$G99/12</f>
        <v>5833.333333333333</v>
      </c>
      <c r="AQ39" s="122">
        <f>+Assumptions!$G99/12</f>
        <v>5833.333333333333</v>
      </c>
      <c r="AR39" s="122">
        <f>+Assumptions!$G99/12</f>
        <v>5833.333333333333</v>
      </c>
      <c r="AS39" s="122">
        <f>+Assumptions!$G99/12</f>
        <v>5833.333333333333</v>
      </c>
      <c r="AT39" s="122">
        <f>+Assumptions!$G99/12</f>
        <v>5833.333333333333</v>
      </c>
      <c r="AU39" s="122">
        <f>+Assumptions!$G99/12</f>
        <v>5833.333333333333</v>
      </c>
      <c r="AV39" s="122">
        <f>+Assumptions!$G99/12</f>
        <v>5833.333333333333</v>
      </c>
      <c r="AW39" s="122">
        <f>+Assumptions!$G99/12</f>
        <v>5833.333333333333</v>
      </c>
      <c r="AX39" s="122">
        <f>+Assumptions!$G99/12</f>
        <v>5833.333333333333</v>
      </c>
      <c r="AY39" s="122">
        <f>+Assumptions!$G99/12</f>
        <v>5833.333333333333</v>
      </c>
      <c r="AZ39" s="123">
        <f>+Assumptions!$G99/12</f>
        <v>5833.333333333333</v>
      </c>
      <c r="BA39" s="121">
        <f>+Assumptions!$H99/12</f>
        <v>6666.666666666667</v>
      </c>
      <c r="BB39" s="122">
        <f>+Assumptions!$H99/12</f>
        <v>6666.666666666667</v>
      </c>
      <c r="BC39" s="122">
        <f>+Assumptions!$H99/12</f>
        <v>6666.666666666667</v>
      </c>
      <c r="BD39" s="122">
        <f>+Assumptions!$H99/12</f>
        <v>6666.666666666667</v>
      </c>
      <c r="BE39" s="122">
        <f>+Assumptions!$H99/12</f>
        <v>6666.666666666667</v>
      </c>
      <c r="BF39" s="122">
        <f>+Assumptions!$H99/12</f>
        <v>6666.666666666667</v>
      </c>
      <c r="BG39" s="122">
        <f>+Assumptions!$H99/12</f>
        <v>6666.666666666667</v>
      </c>
      <c r="BH39" s="122">
        <f>+Assumptions!$H99/12</f>
        <v>6666.666666666667</v>
      </c>
      <c r="BI39" s="122">
        <f>+Assumptions!$H99/12</f>
        <v>6666.666666666667</v>
      </c>
      <c r="BJ39" s="122">
        <f>+Assumptions!$H99/12</f>
        <v>6666.666666666667</v>
      </c>
      <c r="BK39" s="122">
        <f>+Assumptions!$H99/12</f>
        <v>6666.666666666667</v>
      </c>
      <c r="BL39" s="123">
        <f>+Assumptions!$H99/12</f>
        <v>6666.666666666667</v>
      </c>
    </row>
    <row r="40" spans="2:64" s="341" customFormat="1" ht="25.95" customHeight="1" hidden="1" outlineLevel="2">
      <c r="B40" s="1567">
        <f>+Assumptions!B100</f>
        <v>0</v>
      </c>
      <c r="C40" s="1568"/>
      <c r="D40" s="1020">
        <v>0</v>
      </c>
      <c r="E40" s="122">
        <f>+Assumptions!$D100/12</f>
        <v>0</v>
      </c>
      <c r="F40" s="122">
        <f>+Assumptions!$D100/12</f>
        <v>0</v>
      </c>
      <c r="G40" s="122">
        <f>+Assumptions!$D100/12</f>
        <v>0</v>
      </c>
      <c r="H40" s="122">
        <f>+Assumptions!$D100/12</f>
        <v>0</v>
      </c>
      <c r="I40" s="122">
        <f>+Assumptions!$D100/12</f>
        <v>0</v>
      </c>
      <c r="J40" s="122">
        <f>+Assumptions!$D100/12</f>
        <v>0</v>
      </c>
      <c r="K40" s="122">
        <f>+Assumptions!$D100/12</f>
        <v>0</v>
      </c>
      <c r="L40" s="122">
        <f>+Assumptions!$D100/12</f>
        <v>0</v>
      </c>
      <c r="M40" s="122">
        <f>+Assumptions!$D100/12</f>
        <v>0</v>
      </c>
      <c r="N40" s="122">
        <f>+Assumptions!$D100/12</f>
        <v>0</v>
      </c>
      <c r="O40" s="122">
        <f>+Assumptions!$D100/12</f>
        <v>0</v>
      </c>
      <c r="P40" s="123">
        <f>+Assumptions!$D100/12</f>
        <v>0</v>
      </c>
      <c r="Q40" s="121">
        <f>+Assumptions!$E100/12</f>
        <v>0</v>
      </c>
      <c r="R40" s="122">
        <f>+Assumptions!$E100/12</f>
        <v>0</v>
      </c>
      <c r="S40" s="122">
        <f>+Assumptions!$E100/12</f>
        <v>0</v>
      </c>
      <c r="T40" s="122">
        <f>+Assumptions!$E100/12</f>
        <v>0</v>
      </c>
      <c r="U40" s="122">
        <f>+Assumptions!$E100/12</f>
        <v>0</v>
      </c>
      <c r="V40" s="122">
        <f>+Assumptions!$E100/12</f>
        <v>0</v>
      </c>
      <c r="W40" s="122">
        <f>+Assumptions!$E100/12</f>
        <v>0</v>
      </c>
      <c r="X40" s="122">
        <f>+Assumptions!$E100/12</f>
        <v>0</v>
      </c>
      <c r="Y40" s="122">
        <f>+Assumptions!$E100/12</f>
        <v>0</v>
      </c>
      <c r="Z40" s="122">
        <f>+Assumptions!$E100/12</f>
        <v>0</v>
      </c>
      <c r="AA40" s="122">
        <f>+Assumptions!$E100/12</f>
        <v>0</v>
      </c>
      <c r="AB40" s="123">
        <f>+Assumptions!$E100/12</f>
        <v>0</v>
      </c>
      <c r="AC40" s="121">
        <f>+Assumptions!$F100/12</f>
        <v>0</v>
      </c>
      <c r="AD40" s="122">
        <f>+Assumptions!$F100/12</f>
        <v>0</v>
      </c>
      <c r="AE40" s="122">
        <f>+Assumptions!$F100/12</f>
        <v>0</v>
      </c>
      <c r="AF40" s="122">
        <f>+Assumptions!$F100/12</f>
        <v>0</v>
      </c>
      <c r="AG40" s="122">
        <f>+Assumptions!$F100/12</f>
        <v>0</v>
      </c>
      <c r="AH40" s="122">
        <f>+Assumptions!$F100/12</f>
        <v>0</v>
      </c>
      <c r="AI40" s="122">
        <f>+Assumptions!$F100/12</f>
        <v>0</v>
      </c>
      <c r="AJ40" s="122">
        <f>+Assumptions!$F100/12</f>
        <v>0</v>
      </c>
      <c r="AK40" s="122">
        <f>+Assumptions!$F100/12</f>
        <v>0</v>
      </c>
      <c r="AL40" s="122">
        <f>+Assumptions!$F100/12</f>
        <v>0</v>
      </c>
      <c r="AM40" s="122">
        <f>+Assumptions!$F100/12</f>
        <v>0</v>
      </c>
      <c r="AN40" s="123">
        <f>+Assumptions!$F100/12</f>
        <v>0</v>
      </c>
      <c r="AO40" s="121">
        <f>+Assumptions!$G100/12</f>
        <v>0</v>
      </c>
      <c r="AP40" s="122">
        <f>+Assumptions!$G100/12</f>
        <v>0</v>
      </c>
      <c r="AQ40" s="122">
        <f>+Assumptions!$G100/12</f>
        <v>0</v>
      </c>
      <c r="AR40" s="122">
        <f>+Assumptions!$G100/12</f>
        <v>0</v>
      </c>
      <c r="AS40" s="122">
        <f>+Assumptions!$G100/12</f>
        <v>0</v>
      </c>
      <c r="AT40" s="122">
        <f>+Assumptions!$G100/12</f>
        <v>0</v>
      </c>
      <c r="AU40" s="122">
        <f>+Assumptions!$G100/12</f>
        <v>0</v>
      </c>
      <c r="AV40" s="122">
        <f>+Assumptions!$G100/12</f>
        <v>0</v>
      </c>
      <c r="AW40" s="122">
        <f>+Assumptions!$G100/12</f>
        <v>0</v>
      </c>
      <c r="AX40" s="122">
        <f>+Assumptions!$G100/12</f>
        <v>0</v>
      </c>
      <c r="AY40" s="122">
        <f>+Assumptions!$G100/12</f>
        <v>0</v>
      </c>
      <c r="AZ40" s="123">
        <f>+Assumptions!$G100/12</f>
        <v>0</v>
      </c>
      <c r="BA40" s="121">
        <f>+Assumptions!$H100/12</f>
        <v>0</v>
      </c>
      <c r="BB40" s="122">
        <f>+Assumptions!$H100/12</f>
        <v>0</v>
      </c>
      <c r="BC40" s="122">
        <f>+Assumptions!$H100/12</f>
        <v>0</v>
      </c>
      <c r="BD40" s="122">
        <f>+Assumptions!$H100/12</f>
        <v>0</v>
      </c>
      <c r="BE40" s="122">
        <f>+Assumptions!$H100/12</f>
        <v>0</v>
      </c>
      <c r="BF40" s="122">
        <f>+Assumptions!$H100/12</f>
        <v>0</v>
      </c>
      <c r="BG40" s="122">
        <f>+Assumptions!$H100/12</f>
        <v>0</v>
      </c>
      <c r="BH40" s="122">
        <f>+Assumptions!$H100/12</f>
        <v>0</v>
      </c>
      <c r="BI40" s="122">
        <f>+Assumptions!$H100/12</f>
        <v>0</v>
      </c>
      <c r="BJ40" s="122">
        <f>+Assumptions!$H100/12</f>
        <v>0</v>
      </c>
      <c r="BK40" s="122">
        <f>+Assumptions!$H100/12</f>
        <v>0</v>
      </c>
      <c r="BL40" s="123">
        <f>+Assumptions!$H100/12</f>
        <v>0</v>
      </c>
    </row>
    <row r="41" spans="2:64" s="341" customFormat="1" ht="25.95" customHeight="1" hidden="1" outlineLevel="2">
      <c r="B41" s="1567">
        <f>+Assumptions!B101</f>
        <v>0</v>
      </c>
      <c r="C41" s="1568"/>
      <c r="D41" s="1020">
        <f>Assumptions!C101</f>
        <v>0</v>
      </c>
      <c r="E41" s="399"/>
      <c r="F41" s="399"/>
      <c r="G41" s="399"/>
      <c r="H41" s="399"/>
      <c r="I41" s="399"/>
      <c r="J41" s="399"/>
      <c r="K41" s="399"/>
      <c r="L41" s="399"/>
      <c r="M41" s="399"/>
      <c r="N41" s="399"/>
      <c r="O41" s="399"/>
      <c r="P41" s="400"/>
      <c r="Q41" s="442"/>
      <c r="R41" s="399"/>
      <c r="S41" s="399"/>
      <c r="T41" s="399"/>
      <c r="U41" s="399"/>
      <c r="V41" s="399"/>
      <c r="W41" s="399"/>
      <c r="X41" s="399"/>
      <c r="Y41" s="399"/>
      <c r="Z41" s="399"/>
      <c r="AA41" s="399"/>
      <c r="AB41" s="400"/>
      <c r="AC41" s="442"/>
      <c r="AD41" s="399"/>
      <c r="AE41" s="399"/>
      <c r="AF41" s="399"/>
      <c r="AG41" s="399"/>
      <c r="AH41" s="399"/>
      <c r="AI41" s="399"/>
      <c r="AJ41" s="399"/>
      <c r="AK41" s="399"/>
      <c r="AL41" s="399"/>
      <c r="AM41" s="399"/>
      <c r="AN41" s="400"/>
      <c r="AO41" s="442"/>
      <c r="AP41" s="399"/>
      <c r="AQ41" s="399"/>
      <c r="AR41" s="399"/>
      <c r="AS41" s="399"/>
      <c r="AT41" s="399"/>
      <c r="AU41" s="399"/>
      <c r="AV41" s="399"/>
      <c r="AW41" s="399"/>
      <c r="AX41" s="122"/>
      <c r="AY41" s="122"/>
      <c r="AZ41" s="123"/>
      <c r="BA41" s="121"/>
      <c r="BB41" s="122"/>
      <c r="BC41" s="122"/>
      <c r="BD41" s="122"/>
      <c r="BE41" s="122"/>
      <c r="BF41" s="122"/>
      <c r="BG41" s="122"/>
      <c r="BH41" s="122"/>
      <c r="BI41" s="122"/>
      <c r="BJ41" s="122"/>
      <c r="BK41" s="122"/>
      <c r="BL41" s="123"/>
    </row>
    <row r="42" spans="2:64" s="341" customFormat="1" ht="25.95" customHeight="1" hidden="1" outlineLevel="2">
      <c r="B42" s="1567"/>
      <c r="C42" s="1568"/>
      <c r="D42" s="1020"/>
      <c r="E42" s="122"/>
      <c r="F42" s="122"/>
      <c r="G42" s="122"/>
      <c r="H42" s="122"/>
      <c r="I42" s="122"/>
      <c r="J42" s="122"/>
      <c r="K42" s="122"/>
      <c r="L42" s="122"/>
      <c r="M42" s="122"/>
      <c r="N42" s="122"/>
      <c r="O42" s="122"/>
      <c r="P42" s="123"/>
      <c r="Q42" s="121"/>
      <c r="R42" s="122"/>
      <c r="S42" s="122"/>
      <c r="T42" s="122"/>
      <c r="U42" s="122"/>
      <c r="V42" s="122"/>
      <c r="W42" s="122"/>
      <c r="X42" s="122"/>
      <c r="Y42" s="122"/>
      <c r="Z42" s="122"/>
      <c r="AA42" s="122"/>
      <c r="AB42" s="123"/>
      <c r="AC42" s="121"/>
      <c r="AD42" s="122"/>
      <c r="AE42" s="122"/>
      <c r="AF42" s="122"/>
      <c r="AG42" s="122"/>
      <c r="AH42" s="122"/>
      <c r="AI42" s="122"/>
      <c r="AJ42" s="122"/>
      <c r="AK42" s="122"/>
      <c r="AL42" s="122"/>
      <c r="AM42" s="122"/>
      <c r="AN42" s="123"/>
      <c r="AO42" s="121"/>
      <c r="AP42" s="122"/>
      <c r="AQ42" s="122"/>
      <c r="AR42" s="122"/>
      <c r="AS42" s="122"/>
      <c r="AT42" s="122"/>
      <c r="AU42" s="122"/>
      <c r="AV42" s="122"/>
      <c r="AW42" s="122"/>
      <c r="AX42" s="122"/>
      <c r="AY42" s="122"/>
      <c r="AZ42" s="123"/>
      <c r="BA42" s="121"/>
      <c r="BB42" s="122"/>
      <c r="BC42" s="122"/>
      <c r="BD42" s="122"/>
      <c r="BE42" s="122"/>
      <c r="BF42" s="122"/>
      <c r="BG42" s="122"/>
      <c r="BH42" s="122"/>
      <c r="BI42" s="122"/>
      <c r="BJ42" s="122"/>
      <c r="BK42" s="122"/>
      <c r="BL42" s="123"/>
    </row>
    <row r="43" spans="2:64" s="341" customFormat="1" ht="15.75" outlineLevel="1">
      <c r="B43" s="1565" t="str">
        <f>+Assumptions!B103</f>
        <v>HR</v>
      </c>
      <c r="C43" s="1566"/>
      <c r="D43" s="1021">
        <f>+SUM(D44:D65)</f>
        <v>0</v>
      </c>
      <c r="E43" s="343">
        <f aca="true" t="shared" si="16" ref="E43:AA43">+SUM(E44:E65)</f>
        <v>4008.141331275723</v>
      </c>
      <c r="F43" s="343">
        <f t="shared" si="16"/>
        <v>4008.141331275723</v>
      </c>
      <c r="G43" s="343">
        <f t="shared" si="16"/>
        <v>3000.1925814814813</v>
      </c>
      <c r="H43" s="343">
        <f t="shared" si="16"/>
        <v>2750.442222222222</v>
      </c>
      <c r="I43" s="343">
        <f t="shared" si="16"/>
        <v>1999.8141703703704</v>
      </c>
      <c r="J43" s="343">
        <f t="shared" si="16"/>
        <v>1999.8141703703704</v>
      </c>
      <c r="K43" s="343">
        <f t="shared" si="16"/>
        <v>1250.1287703703704</v>
      </c>
      <c r="L43" s="343">
        <f t="shared" si="16"/>
        <v>1250.1287703703704</v>
      </c>
      <c r="M43" s="343">
        <f t="shared" si="16"/>
        <v>7307.938271604939</v>
      </c>
      <c r="N43" s="343">
        <f t="shared" si="16"/>
        <v>9602.895061728395</v>
      </c>
      <c r="O43" s="343">
        <f t="shared" si="16"/>
        <v>9602.895061728395</v>
      </c>
      <c r="P43" s="344">
        <f t="shared" si="16"/>
        <v>9602.895061728395</v>
      </c>
      <c r="Q43" s="342">
        <f t="shared" si="16"/>
        <v>14651.8</v>
      </c>
      <c r="R43" s="343">
        <f t="shared" si="16"/>
        <v>14651.8</v>
      </c>
      <c r="S43" s="343">
        <f t="shared" si="16"/>
        <v>14651.8</v>
      </c>
      <c r="T43" s="343">
        <f t="shared" si="16"/>
        <v>14651.8</v>
      </c>
      <c r="U43" s="343">
        <f t="shared" si="16"/>
        <v>14651.8</v>
      </c>
      <c r="V43" s="343">
        <f t="shared" si="16"/>
        <v>14651.8</v>
      </c>
      <c r="W43" s="343">
        <f t="shared" si="16"/>
        <v>14651.8</v>
      </c>
      <c r="X43" s="343">
        <f t="shared" si="16"/>
        <v>14651.8</v>
      </c>
      <c r="Y43" s="343">
        <f t="shared" si="16"/>
        <v>14651.8</v>
      </c>
      <c r="Z43" s="343">
        <f t="shared" si="16"/>
        <v>14651.8</v>
      </c>
      <c r="AA43" s="343">
        <f t="shared" si="16"/>
        <v>14651.8</v>
      </c>
      <c r="AB43" s="344">
        <f aca="true" t="shared" si="17" ref="AB43:AM43">+SUM(AB44:AB65)</f>
        <v>14651.8</v>
      </c>
      <c r="AC43" s="342">
        <f t="shared" si="17"/>
        <v>25401.903395061723</v>
      </c>
      <c r="AD43" s="343">
        <f t="shared" si="17"/>
        <v>25401.903395061723</v>
      </c>
      <c r="AE43" s="343">
        <f t="shared" si="17"/>
        <v>25401.903395061723</v>
      </c>
      <c r="AF43" s="343">
        <f t="shared" si="17"/>
        <v>25401.903395061723</v>
      </c>
      <c r="AG43" s="343">
        <f t="shared" si="17"/>
        <v>25401.903395061723</v>
      </c>
      <c r="AH43" s="343">
        <f t="shared" si="17"/>
        <v>25401.903395061723</v>
      </c>
      <c r="AI43" s="343">
        <f t="shared" si="17"/>
        <v>25401.903395061723</v>
      </c>
      <c r="AJ43" s="343">
        <f t="shared" si="17"/>
        <v>25401.903395061723</v>
      </c>
      <c r="AK43" s="343">
        <f t="shared" si="17"/>
        <v>25401.903395061723</v>
      </c>
      <c r="AL43" s="343">
        <f t="shared" si="17"/>
        <v>25401.903395061723</v>
      </c>
      <c r="AM43" s="343">
        <f t="shared" si="17"/>
        <v>25401.903395061723</v>
      </c>
      <c r="AN43" s="344">
        <f aca="true" t="shared" si="18" ref="AN43:AY43">+SUM(AN44:AN65)</f>
        <v>25401.903395061723</v>
      </c>
      <c r="AO43" s="342">
        <f t="shared" si="18"/>
        <v>26078.32592592592</v>
      </c>
      <c r="AP43" s="343">
        <f t="shared" si="18"/>
        <v>26078.32592592592</v>
      </c>
      <c r="AQ43" s="343">
        <f t="shared" si="18"/>
        <v>26078.32592592592</v>
      </c>
      <c r="AR43" s="343">
        <f t="shared" si="18"/>
        <v>26078.32592592592</v>
      </c>
      <c r="AS43" s="343">
        <f t="shared" si="18"/>
        <v>26078.32592592592</v>
      </c>
      <c r="AT43" s="343">
        <f t="shared" si="18"/>
        <v>26078.32592592592</v>
      </c>
      <c r="AU43" s="343">
        <f t="shared" si="18"/>
        <v>26078.32592592592</v>
      </c>
      <c r="AV43" s="343">
        <f t="shared" si="18"/>
        <v>26078.32592592592</v>
      </c>
      <c r="AW43" s="343">
        <f t="shared" si="18"/>
        <v>26078.32592592592</v>
      </c>
      <c r="AX43" s="343">
        <f t="shared" si="18"/>
        <v>26078.32592592592</v>
      </c>
      <c r="AY43" s="343">
        <f t="shared" si="18"/>
        <v>26078.32592592592</v>
      </c>
      <c r="AZ43" s="344">
        <f aca="true" t="shared" si="19" ref="AZ43:BK43">+SUM(AZ44:AZ65)</f>
        <v>26078.32592592592</v>
      </c>
      <c r="BA43" s="342">
        <f t="shared" si="19"/>
        <v>31767.459876543206</v>
      </c>
      <c r="BB43" s="343">
        <f t="shared" si="19"/>
        <v>31767.459876543206</v>
      </c>
      <c r="BC43" s="343">
        <f t="shared" si="19"/>
        <v>31767.459876543206</v>
      </c>
      <c r="BD43" s="343">
        <f t="shared" si="19"/>
        <v>31767.459876543206</v>
      </c>
      <c r="BE43" s="343">
        <f t="shared" si="19"/>
        <v>31767.459876543206</v>
      </c>
      <c r="BF43" s="343">
        <f t="shared" si="19"/>
        <v>31767.459876543206</v>
      </c>
      <c r="BG43" s="343">
        <f t="shared" si="19"/>
        <v>31767.459876543206</v>
      </c>
      <c r="BH43" s="343">
        <f t="shared" si="19"/>
        <v>31767.459876543206</v>
      </c>
      <c r="BI43" s="343">
        <f t="shared" si="19"/>
        <v>31767.459876543206</v>
      </c>
      <c r="BJ43" s="343">
        <f t="shared" si="19"/>
        <v>31767.459876543206</v>
      </c>
      <c r="BK43" s="343">
        <f t="shared" si="19"/>
        <v>31767.459876543206</v>
      </c>
      <c r="BL43" s="344">
        <f aca="true" t="shared" si="20" ref="BL43">+SUM(BL44:BL65)</f>
        <v>31767.459876543206</v>
      </c>
    </row>
    <row r="44" spans="2:64" s="341" customFormat="1" ht="25.95" customHeight="1" outlineLevel="3">
      <c r="B44" s="347" t="str">
        <f>+Assumptions!B104</f>
        <v>CEO</v>
      </c>
      <c r="C44" s="348"/>
      <c r="D44" s="1020">
        <f>+Assumptions!C104</f>
        <v>0</v>
      </c>
      <c r="E44" s="122">
        <f>+' HR Breakdown'!C39*(1-Assumptions!$J104)</f>
        <v>1951.095061728398</v>
      </c>
      <c r="F44" s="122">
        <f>+' HR Breakdown'!D39*(1-Assumptions!$J104)</f>
        <v>1951.095061728398</v>
      </c>
      <c r="G44" s="122">
        <f>+' HR Breakdown'!E39*(1-Assumptions!$J104)</f>
        <v>927.8466</v>
      </c>
      <c r="H44" s="122">
        <f>+' HR Breakdown'!F39*(1-Assumptions!$J104)</f>
        <v>850.218</v>
      </c>
      <c r="I44" s="122">
        <f>+' HR Breakdown'!G39*(1-Assumptions!$J104)</f>
        <v>617.3322000000001</v>
      </c>
      <c r="J44" s="122">
        <f>+' HR Breakdown'!H39*(1-Assumptions!$J104)</f>
        <v>617.3322000000001</v>
      </c>
      <c r="K44" s="122">
        <f>+' HR Breakdown'!I39*(1-Assumptions!$J104)</f>
        <v>388.14300000000003</v>
      </c>
      <c r="L44" s="122">
        <f>+' HR Breakdown'!J39*(1-Assumptions!$J104)</f>
        <v>388.14300000000003</v>
      </c>
      <c r="M44" s="122">
        <f>+' HR Breakdown'!K39*(1-Assumptions!$J104)</f>
        <v>2259.0333333333333</v>
      </c>
      <c r="N44" s="122">
        <f>+' HR Breakdown'!L39*(1-Assumptions!$J104)</f>
        <v>2259.0333333333333</v>
      </c>
      <c r="O44" s="122">
        <f>+' HR Breakdown'!M39*(1-Assumptions!$J104)</f>
        <v>2259.0333333333333</v>
      </c>
      <c r="P44" s="123">
        <f>+' HR Breakdown'!N39*(1-Assumptions!$J104)</f>
        <v>2259.0333333333333</v>
      </c>
      <c r="Q44" s="121">
        <f>+' HR Breakdown'!O39*(1-Assumptions!$J104)</f>
        <v>2259.0333333333333</v>
      </c>
      <c r="R44" s="122">
        <f>+' HR Breakdown'!P39*(1-Assumptions!$J104)</f>
        <v>2259.0333333333333</v>
      </c>
      <c r="S44" s="122">
        <f>+' HR Breakdown'!Q39*(1-Assumptions!$J104)</f>
        <v>2259.0333333333333</v>
      </c>
      <c r="T44" s="122">
        <f>+' HR Breakdown'!R39*(1-Assumptions!$J104)</f>
        <v>2259.0333333333333</v>
      </c>
      <c r="U44" s="122">
        <f>+' HR Breakdown'!S39*(1-Assumptions!$J104)</f>
        <v>2259.0333333333333</v>
      </c>
      <c r="V44" s="122">
        <f>+' HR Breakdown'!T39*(1-Assumptions!$J104)</f>
        <v>2259.0333333333333</v>
      </c>
      <c r="W44" s="122">
        <f>+' HR Breakdown'!U39*(1-Assumptions!$J104)</f>
        <v>2259.0333333333333</v>
      </c>
      <c r="X44" s="122">
        <f>+' HR Breakdown'!V39*(1-Assumptions!$J104)</f>
        <v>2259.0333333333333</v>
      </c>
      <c r="Y44" s="122">
        <f>+' HR Breakdown'!W39*(1-Assumptions!$J104)</f>
        <v>2259.0333333333333</v>
      </c>
      <c r="Z44" s="122">
        <f>+' HR Breakdown'!X39*(1-Assumptions!$J104)</f>
        <v>2259.0333333333333</v>
      </c>
      <c r="AA44" s="122">
        <f>+' HR Breakdown'!Y39*(1-Assumptions!$J104)</f>
        <v>2259.0333333333333</v>
      </c>
      <c r="AB44" s="123">
        <f>+' HR Breakdown'!Z39*(1-Assumptions!$J104)</f>
        <v>2259.0333333333333</v>
      </c>
      <c r="AC44" s="121">
        <f>+' HR Breakdown'!AA39*(1-Assumptions!$J104)</f>
        <v>2567.0833333333335</v>
      </c>
      <c r="AD44" s="122">
        <f>+' HR Breakdown'!AB39*(1-Assumptions!$J104)</f>
        <v>2567.0833333333335</v>
      </c>
      <c r="AE44" s="122">
        <f>+' HR Breakdown'!AC39*(1-Assumptions!$J104)</f>
        <v>2567.0833333333335</v>
      </c>
      <c r="AF44" s="122">
        <f>+' HR Breakdown'!AD39*(1-Assumptions!$J104)</f>
        <v>2567.0833333333335</v>
      </c>
      <c r="AG44" s="122">
        <f>+' HR Breakdown'!AE39*(1-Assumptions!$J104)</f>
        <v>2567.0833333333335</v>
      </c>
      <c r="AH44" s="122">
        <f>+' HR Breakdown'!AF39*(1-Assumptions!$J104)</f>
        <v>2567.0833333333335</v>
      </c>
      <c r="AI44" s="122">
        <f>+' HR Breakdown'!AG39*(1-Assumptions!$J104)</f>
        <v>2567.0833333333335</v>
      </c>
      <c r="AJ44" s="122">
        <f>+' HR Breakdown'!AH39*(1-Assumptions!$J104)</f>
        <v>2567.0833333333335</v>
      </c>
      <c r="AK44" s="122">
        <f>+' HR Breakdown'!AI39*(1-Assumptions!$J104)</f>
        <v>2567.0833333333335</v>
      </c>
      <c r="AL44" s="122">
        <f>+' HR Breakdown'!AJ39*(1-Assumptions!$J104)</f>
        <v>2567.0833333333335</v>
      </c>
      <c r="AM44" s="122">
        <f>+' HR Breakdown'!AK39*(1-Assumptions!$J104)</f>
        <v>2567.0833333333335</v>
      </c>
      <c r="AN44" s="123">
        <f>+' HR Breakdown'!AL39*(1-Assumptions!$J104)</f>
        <v>2567.0833333333335</v>
      </c>
      <c r="AO44" s="121">
        <f>+' HR Breakdown'!AM39*(1-Assumptions!$J104)</f>
        <v>2669.7666666666664</v>
      </c>
      <c r="AP44" s="122">
        <f>+' HR Breakdown'!AN39*(1-Assumptions!$J104)</f>
        <v>2669.7666666666664</v>
      </c>
      <c r="AQ44" s="122">
        <f>+' HR Breakdown'!AO39*(1-Assumptions!$J104)</f>
        <v>2669.7666666666664</v>
      </c>
      <c r="AR44" s="122">
        <f>+' HR Breakdown'!AP39*(1-Assumptions!$J104)</f>
        <v>2669.7666666666664</v>
      </c>
      <c r="AS44" s="122">
        <f>+' HR Breakdown'!AQ39*(1-Assumptions!$J104)</f>
        <v>2669.7666666666664</v>
      </c>
      <c r="AT44" s="122">
        <f>+' HR Breakdown'!AR39*(1-Assumptions!$J104)</f>
        <v>2669.7666666666664</v>
      </c>
      <c r="AU44" s="122">
        <f>+' HR Breakdown'!AS39*(1-Assumptions!$J104)</f>
        <v>2669.7666666666664</v>
      </c>
      <c r="AV44" s="122">
        <f>+' HR Breakdown'!AT39*(1-Assumptions!$J104)</f>
        <v>2669.7666666666664</v>
      </c>
      <c r="AW44" s="122">
        <f>+' HR Breakdown'!AU39*(1-Assumptions!$J104)</f>
        <v>2669.7666666666664</v>
      </c>
      <c r="AX44" s="122">
        <f>+' HR Breakdown'!AV39*(1-Assumptions!$J104)</f>
        <v>2669.7666666666664</v>
      </c>
      <c r="AY44" s="122">
        <f>+' HR Breakdown'!AW39*(1-Assumptions!$J104)</f>
        <v>2669.7666666666664</v>
      </c>
      <c r="AZ44" s="123">
        <f>+' HR Breakdown'!AX39*(1-Assumptions!$J104)</f>
        <v>2669.7666666666664</v>
      </c>
      <c r="BA44" s="121">
        <f>+' HR Breakdown'!AY39*(1-Assumptions!$J104)</f>
        <v>3080.5</v>
      </c>
      <c r="BB44" s="122">
        <f>+' HR Breakdown'!AZ39*(1-Assumptions!$J104)</f>
        <v>3080.5</v>
      </c>
      <c r="BC44" s="122">
        <f>+' HR Breakdown'!BA39*(1-Assumptions!$J104)</f>
        <v>3080.5</v>
      </c>
      <c r="BD44" s="122">
        <f>+' HR Breakdown'!BB39*(1-Assumptions!$J104)</f>
        <v>3080.5</v>
      </c>
      <c r="BE44" s="122">
        <f>+' HR Breakdown'!BC39*(1-Assumptions!$J104)</f>
        <v>3080.5</v>
      </c>
      <c r="BF44" s="122">
        <f>+' HR Breakdown'!BD39*(1-Assumptions!$J104)</f>
        <v>3080.5</v>
      </c>
      <c r="BG44" s="122">
        <f>+' HR Breakdown'!BE39*(1-Assumptions!$J104)</f>
        <v>3080.5</v>
      </c>
      <c r="BH44" s="122">
        <f>+' HR Breakdown'!BF39*(1-Assumptions!$J104)</f>
        <v>3080.5</v>
      </c>
      <c r="BI44" s="122">
        <f>+' HR Breakdown'!BG39*(1-Assumptions!$J104)</f>
        <v>3080.5</v>
      </c>
      <c r="BJ44" s="122">
        <f>+' HR Breakdown'!BH39*(1-Assumptions!$J104)</f>
        <v>3080.5</v>
      </c>
      <c r="BK44" s="122">
        <f>+' HR Breakdown'!BI39*(1-Assumptions!$J104)</f>
        <v>3080.5</v>
      </c>
      <c r="BL44" s="123">
        <f>+' HR Breakdown'!BJ39*(1-Assumptions!$J104)</f>
        <v>3080.5</v>
      </c>
    </row>
    <row r="45" spans="2:64" s="341" customFormat="1" ht="25.95" customHeight="1" outlineLevel="3">
      <c r="B45" s="347" t="str">
        <f>+Assumptions!B105</f>
        <v>COO</v>
      </c>
      <c r="C45" s="348"/>
      <c r="D45" s="1020">
        <f>+Assumptions!C105</f>
        <v>0</v>
      </c>
      <c r="E45" s="122">
        <f>+' HR Breakdown'!C40*(1-Assumptions!$J105)</f>
        <v>1028.5231347736624</v>
      </c>
      <c r="F45" s="122">
        <f>+' HR Breakdown'!D40*(1-Assumptions!$J105)</f>
        <v>1028.5231347736624</v>
      </c>
      <c r="G45" s="122">
        <f>+' HR Breakdown'!E40*(1-Assumptions!$J105)</f>
        <v>1036.8614777777777</v>
      </c>
      <c r="H45" s="122">
        <f>+' HR Breakdown'!F40*(1-Assumptions!$J105)</f>
        <v>950.1121111111111</v>
      </c>
      <c r="I45" s="122">
        <f>+' HR Breakdown'!G40*(1-Assumptions!$J105)</f>
        <v>691.2409851851852</v>
      </c>
      <c r="J45" s="122">
        <f>+' HR Breakdown'!H40*(1-Assumptions!$J105)</f>
        <v>691.2409851851852</v>
      </c>
      <c r="K45" s="122">
        <f>+' HR Breakdown'!I40*(1-Assumptions!$J105)</f>
        <v>430.9928851851852</v>
      </c>
      <c r="L45" s="122">
        <f>+' HR Breakdown'!J40*(1-Assumptions!$J105)</f>
        <v>430.9928851851852</v>
      </c>
      <c r="M45" s="122">
        <f>+' HR Breakdown'!K40*(1-Assumptions!$J105)</f>
        <v>2524.4524691358024</v>
      </c>
      <c r="N45" s="122">
        <f>+' HR Breakdown'!L40*(1-Assumptions!$J105)</f>
        <v>2524.4524691358024</v>
      </c>
      <c r="O45" s="122">
        <f>+' HR Breakdown'!M40*(1-Assumptions!$J105)</f>
        <v>2524.4524691358024</v>
      </c>
      <c r="P45" s="123">
        <f>+' HR Breakdown'!N40*(1-Assumptions!$J105)</f>
        <v>2524.4524691358024</v>
      </c>
      <c r="Q45" s="121">
        <f>+' HR Breakdown'!O40*(1-Assumptions!$J105)</f>
        <v>2524.4524691358024</v>
      </c>
      <c r="R45" s="122">
        <f>+' HR Breakdown'!P40*(1-Assumptions!$J105)</f>
        <v>2524.4524691358024</v>
      </c>
      <c r="S45" s="122">
        <f>+' HR Breakdown'!Q40*(1-Assumptions!$J105)</f>
        <v>2524.4524691358024</v>
      </c>
      <c r="T45" s="122">
        <f>+' HR Breakdown'!R40*(1-Assumptions!$J105)</f>
        <v>2524.4524691358024</v>
      </c>
      <c r="U45" s="122">
        <f>+' HR Breakdown'!S40*(1-Assumptions!$J105)</f>
        <v>2524.4524691358024</v>
      </c>
      <c r="V45" s="122">
        <f>+' HR Breakdown'!T40*(1-Assumptions!$J105)</f>
        <v>2524.4524691358024</v>
      </c>
      <c r="W45" s="122">
        <f>+' HR Breakdown'!U40*(1-Assumptions!$J105)</f>
        <v>2524.4524691358024</v>
      </c>
      <c r="X45" s="122">
        <f>+' HR Breakdown'!V40*(1-Assumptions!$J105)</f>
        <v>2524.4524691358024</v>
      </c>
      <c r="Y45" s="122">
        <f>+' HR Breakdown'!W40*(1-Assumptions!$J105)</f>
        <v>2524.4524691358024</v>
      </c>
      <c r="Z45" s="122">
        <f>+' HR Breakdown'!X40*(1-Assumptions!$J105)</f>
        <v>2524.4524691358024</v>
      </c>
      <c r="AA45" s="122">
        <f>+' HR Breakdown'!Y40*(1-Assumptions!$J105)</f>
        <v>2524.4524691358024</v>
      </c>
      <c r="AB45" s="123">
        <f>+' HR Breakdown'!Z40*(1-Assumptions!$J105)</f>
        <v>2524.4524691358024</v>
      </c>
      <c r="AC45" s="121">
        <f>+' HR Breakdown'!AA40*(1-Assumptions!$J105)</f>
        <v>2868.6959876543215</v>
      </c>
      <c r="AD45" s="122">
        <f>+' HR Breakdown'!AB40*(1-Assumptions!$J105)</f>
        <v>2868.6959876543215</v>
      </c>
      <c r="AE45" s="122">
        <f>+' HR Breakdown'!AC40*(1-Assumptions!$J105)</f>
        <v>2868.6959876543215</v>
      </c>
      <c r="AF45" s="122">
        <f>+' HR Breakdown'!AD40*(1-Assumptions!$J105)</f>
        <v>2868.6959876543215</v>
      </c>
      <c r="AG45" s="122">
        <f>+' HR Breakdown'!AE40*(1-Assumptions!$J105)</f>
        <v>2868.6959876543215</v>
      </c>
      <c r="AH45" s="122">
        <f>+' HR Breakdown'!AF40*(1-Assumptions!$J105)</f>
        <v>2868.6959876543215</v>
      </c>
      <c r="AI45" s="122">
        <f>+' HR Breakdown'!AG40*(1-Assumptions!$J105)</f>
        <v>2868.6959876543215</v>
      </c>
      <c r="AJ45" s="122">
        <f>+' HR Breakdown'!AH40*(1-Assumptions!$J105)</f>
        <v>2868.6959876543215</v>
      </c>
      <c r="AK45" s="122">
        <f>+' HR Breakdown'!AI40*(1-Assumptions!$J105)</f>
        <v>2868.6959876543215</v>
      </c>
      <c r="AL45" s="122">
        <f>+' HR Breakdown'!AJ40*(1-Assumptions!$J105)</f>
        <v>2868.6959876543215</v>
      </c>
      <c r="AM45" s="122">
        <f>+' HR Breakdown'!AK40*(1-Assumptions!$J105)</f>
        <v>2868.6959876543215</v>
      </c>
      <c r="AN45" s="123">
        <f>+' HR Breakdown'!AL40*(1-Assumptions!$J105)</f>
        <v>2868.6959876543215</v>
      </c>
      <c r="AO45" s="121">
        <f>+' HR Breakdown'!AM40*(1-Assumptions!$J105)</f>
        <v>2983.4438271604936</v>
      </c>
      <c r="AP45" s="122">
        <f>+' HR Breakdown'!AN40*(1-Assumptions!$J105)</f>
        <v>2983.4438271604936</v>
      </c>
      <c r="AQ45" s="122">
        <f>+' HR Breakdown'!AO40*(1-Assumptions!$J105)</f>
        <v>2983.4438271604936</v>
      </c>
      <c r="AR45" s="122">
        <f>+' HR Breakdown'!AP40*(1-Assumptions!$J105)</f>
        <v>2983.4438271604936</v>
      </c>
      <c r="AS45" s="122">
        <f>+' HR Breakdown'!AQ40*(1-Assumptions!$J105)</f>
        <v>2983.4438271604936</v>
      </c>
      <c r="AT45" s="122">
        <f>+' HR Breakdown'!AR40*(1-Assumptions!$J105)</f>
        <v>2983.4438271604936</v>
      </c>
      <c r="AU45" s="122">
        <f>+' HR Breakdown'!AS40*(1-Assumptions!$J105)</f>
        <v>2983.4438271604936</v>
      </c>
      <c r="AV45" s="122">
        <f>+' HR Breakdown'!AT40*(1-Assumptions!$J105)</f>
        <v>2983.4438271604936</v>
      </c>
      <c r="AW45" s="122">
        <f>+' HR Breakdown'!AU40*(1-Assumptions!$J105)</f>
        <v>2983.4438271604936</v>
      </c>
      <c r="AX45" s="122">
        <f>+' HR Breakdown'!AV40*(1-Assumptions!$J105)</f>
        <v>2983.4438271604936</v>
      </c>
      <c r="AY45" s="122">
        <f>+' HR Breakdown'!AW40*(1-Assumptions!$J105)</f>
        <v>2983.4438271604936</v>
      </c>
      <c r="AZ45" s="123">
        <f>+' HR Breakdown'!AX40*(1-Assumptions!$J105)</f>
        <v>2983.4438271604936</v>
      </c>
      <c r="BA45" s="121">
        <f>+' HR Breakdown'!AY40*(1-Assumptions!$J105)</f>
        <v>3442.435185185185</v>
      </c>
      <c r="BB45" s="122">
        <f>+' HR Breakdown'!AZ40*(1-Assumptions!$J105)</f>
        <v>3442.435185185185</v>
      </c>
      <c r="BC45" s="122">
        <f>+' HR Breakdown'!BA40*(1-Assumptions!$J105)</f>
        <v>3442.435185185185</v>
      </c>
      <c r="BD45" s="122">
        <f>+' HR Breakdown'!BB40*(1-Assumptions!$J105)</f>
        <v>3442.435185185185</v>
      </c>
      <c r="BE45" s="122">
        <f>+' HR Breakdown'!BC40*(1-Assumptions!$J105)</f>
        <v>3442.435185185185</v>
      </c>
      <c r="BF45" s="122">
        <f>+' HR Breakdown'!BD40*(1-Assumptions!$J105)</f>
        <v>3442.435185185185</v>
      </c>
      <c r="BG45" s="122">
        <f>+' HR Breakdown'!BE40*(1-Assumptions!$J105)</f>
        <v>3442.435185185185</v>
      </c>
      <c r="BH45" s="122">
        <f>+' HR Breakdown'!BF40*(1-Assumptions!$J105)</f>
        <v>3442.435185185185</v>
      </c>
      <c r="BI45" s="122">
        <f>+' HR Breakdown'!BG40*(1-Assumptions!$J105)</f>
        <v>3442.435185185185</v>
      </c>
      <c r="BJ45" s="122">
        <f>+' HR Breakdown'!BH40*(1-Assumptions!$J105)</f>
        <v>3442.435185185185</v>
      </c>
      <c r="BK45" s="122">
        <f>+' HR Breakdown'!BI40*(1-Assumptions!$J105)</f>
        <v>3442.435185185185</v>
      </c>
      <c r="BL45" s="123">
        <f>+' HR Breakdown'!BJ40*(1-Assumptions!$J105)</f>
        <v>3442.435185185185</v>
      </c>
    </row>
    <row r="46" spans="2:64" s="341" customFormat="1" ht="25.95" customHeight="1" outlineLevel="3">
      <c r="B46" s="347" t="str">
        <f>+Assumptions!B106</f>
        <v>CFO</v>
      </c>
      <c r="C46" s="348"/>
      <c r="D46" s="1020">
        <f>+Assumptions!C106</f>
        <v>0</v>
      </c>
      <c r="E46" s="122">
        <f>+' HR Breakdown'!C41*(1-Assumptions!$J106)</f>
        <v>1028.5231347736624</v>
      </c>
      <c r="F46" s="122">
        <f>+' HR Breakdown'!D41*(1-Assumptions!$J106)</f>
        <v>1028.5231347736624</v>
      </c>
      <c r="G46" s="122">
        <f>+' HR Breakdown'!E41*(1-Assumptions!$J106)</f>
        <v>1035.4845037037037</v>
      </c>
      <c r="H46" s="122">
        <f>+' HR Breakdown'!F41*(1-Assumptions!$J106)</f>
        <v>950.1121111111111</v>
      </c>
      <c r="I46" s="122">
        <f>+' HR Breakdown'!G41*(1-Assumptions!$J106)</f>
        <v>691.2409851851852</v>
      </c>
      <c r="J46" s="122">
        <f>+' HR Breakdown'!H41*(1-Assumptions!$J106)</f>
        <v>691.2409851851852</v>
      </c>
      <c r="K46" s="122">
        <f>+' HR Breakdown'!I41*(1-Assumptions!$J106)</f>
        <v>430.9928851851852</v>
      </c>
      <c r="L46" s="122">
        <f>+' HR Breakdown'!J41*(1-Assumptions!$J106)</f>
        <v>430.9928851851852</v>
      </c>
      <c r="M46" s="122">
        <f>+' HR Breakdown'!K41*(1-Assumptions!$J106)</f>
        <v>2524.4524691358024</v>
      </c>
      <c r="N46" s="122">
        <f>+' HR Breakdown'!L41*(1-Assumptions!$J106)</f>
        <v>2524.4524691358024</v>
      </c>
      <c r="O46" s="122">
        <f>+' HR Breakdown'!M41*(1-Assumptions!$J106)</f>
        <v>2524.4524691358024</v>
      </c>
      <c r="P46" s="123">
        <f>+' HR Breakdown'!N41*(1-Assumptions!$J106)</f>
        <v>2524.4524691358024</v>
      </c>
      <c r="Q46" s="121">
        <f>+' HR Breakdown'!O41*(1-Assumptions!$J106)</f>
        <v>2524.4524691358024</v>
      </c>
      <c r="R46" s="122">
        <f>+' HR Breakdown'!P41*(1-Assumptions!$J106)</f>
        <v>2524.4524691358024</v>
      </c>
      <c r="S46" s="122">
        <f>+' HR Breakdown'!Q41*(1-Assumptions!$J106)</f>
        <v>2524.4524691358024</v>
      </c>
      <c r="T46" s="122">
        <f>+' HR Breakdown'!R41*(1-Assumptions!$J106)</f>
        <v>2524.4524691358024</v>
      </c>
      <c r="U46" s="122">
        <f>+' HR Breakdown'!S41*(1-Assumptions!$J106)</f>
        <v>2524.4524691358024</v>
      </c>
      <c r="V46" s="122">
        <f>+' HR Breakdown'!T41*(1-Assumptions!$J106)</f>
        <v>2524.4524691358024</v>
      </c>
      <c r="W46" s="122">
        <f>+' HR Breakdown'!U41*(1-Assumptions!$J106)</f>
        <v>2524.4524691358024</v>
      </c>
      <c r="X46" s="122">
        <f>+' HR Breakdown'!V41*(1-Assumptions!$J106)</f>
        <v>2524.4524691358024</v>
      </c>
      <c r="Y46" s="122">
        <f>+' HR Breakdown'!W41*(1-Assumptions!$J106)</f>
        <v>2524.4524691358024</v>
      </c>
      <c r="Z46" s="122">
        <f>+' HR Breakdown'!X41*(1-Assumptions!$J106)</f>
        <v>2524.4524691358024</v>
      </c>
      <c r="AA46" s="122">
        <f>+' HR Breakdown'!Y41*(1-Assumptions!$J106)</f>
        <v>2524.4524691358024</v>
      </c>
      <c r="AB46" s="123">
        <f>+' HR Breakdown'!Z41*(1-Assumptions!$J106)</f>
        <v>2524.4524691358024</v>
      </c>
      <c r="AC46" s="121">
        <f>+' HR Breakdown'!AA41*(1-Assumptions!$J106)</f>
        <v>2524.4524691358024</v>
      </c>
      <c r="AD46" s="122">
        <f>+' HR Breakdown'!AB41*(1-Assumptions!$J106)</f>
        <v>2524.4524691358024</v>
      </c>
      <c r="AE46" s="122">
        <f>+' HR Breakdown'!AC41*(1-Assumptions!$J106)</f>
        <v>2524.4524691358024</v>
      </c>
      <c r="AF46" s="122">
        <f>+' HR Breakdown'!AD41*(1-Assumptions!$J106)</f>
        <v>2524.4524691358024</v>
      </c>
      <c r="AG46" s="122">
        <f>+' HR Breakdown'!AE41*(1-Assumptions!$J106)</f>
        <v>2524.4524691358024</v>
      </c>
      <c r="AH46" s="122">
        <f>+' HR Breakdown'!AF41*(1-Assumptions!$J106)</f>
        <v>2524.4524691358024</v>
      </c>
      <c r="AI46" s="122">
        <f>+' HR Breakdown'!AG41*(1-Assumptions!$J106)</f>
        <v>2524.4524691358024</v>
      </c>
      <c r="AJ46" s="122">
        <f>+' HR Breakdown'!AH41*(1-Assumptions!$J106)</f>
        <v>2524.4524691358024</v>
      </c>
      <c r="AK46" s="122">
        <f>+' HR Breakdown'!AI41*(1-Assumptions!$J106)</f>
        <v>2524.4524691358024</v>
      </c>
      <c r="AL46" s="122">
        <f>+' HR Breakdown'!AJ41*(1-Assumptions!$J106)</f>
        <v>2524.4524691358024</v>
      </c>
      <c r="AM46" s="122">
        <f>+' HR Breakdown'!AK41*(1-Assumptions!$J106)</f>
        <v>2524.4524691358024</v>
      </c>
      <c r="AN46" s="123">
        <f>+' HR Breakdown'!AL41*(1-Assumptions!$J106)</f>
        <v>2524.4524691358024</v>
      </c>
      <c r="AO46" s="121">
        <f>+' HR Breakdown'!AM41*(1-Assumptions!$J106)</f>
        <v>2753.948148148148</v>
      </c>
      <c r="AP46" s="122">
        <f>+' HR Breakdown'!AN41*(1-Assumptions!$J106)</f>
        <v>2753.948148148148</v>
      </c>
      <c r="AQ46" s="122">
        <f>+' HR Breakdown'!AO41*(1-Assumptions!$J106)</f>
        <v>2753.948148148148</v>
      </c>
      <c r="AR46" s="122">
        <f>+' HR Breakdown'!AP41*(1-Assumptions!$J106)</f>
        <v>2753.948148148148</v>
      </c>
      <c r="AS46" s="122">
        <f>+' HR Breakdown'!AQ41*(1-Assumptions!$J106)</f>
        <v>2753.948148148148</v>
      </c>
      <c r="AT46" s="122">
        <f>+' HR Breakdown'!AR41*(1-Assumptions!$J106)</f>
        <v>2753.948148148148</v>
      </c>
      <c r="AU46" s="122">
        <f>+' HR Breakdown'!AS41*(1-Assumptions!$J106)</f>
        <v>2753.948148148148</v>
      </c>
      <c r="AV46" s="122">
        <f>+' HR Breakdown'!AT41*(1-Assumptions!$J106)</f>
        <v>2753.948148148148</v>
      </c>
      <c r="AW46" s="122">
        <f>+' HR Breakdown'!AU41*(1-Assumptions!$J106)</f>
        <v>2753.948148148148</v>
      </c>
      <c r="AX46" s="122">
        <f>+' HR Breakdown'!AV41*(1-Assumptions!$J106)</f>
        <v>2753.948148148148</v>
      </c>
      <c r="AY46" s="122">
        <f>+' HR Breakdown'!AW41*(1-Assumptions!$J106)</f>
        <v>2753.948148148148</v>
      </c>
      <c r="AZ46" s="123">
        <f>+' HR Breakdown'!AX41*(1-Assumptions!$J106)</f>
        <v>2753.948148148148</v>
      </c>
      <c r="BA46" s="121">
        <f>+' HR Breakdown'!AY41*(1-Assumptions!$J106)</f>
        <v>2753.948148148148</v>
      </c>
      <c r="BB46" s="122">
        <f>+' HR Breakdown'!AZ41*(1-Assumptions!$J106)</f>
        <v>2753.948148148148</v>
      </c>
      <c r="BC46" s="122">
        <f>+' HR Breakdown'!BA41*(1-Assumptions!$J106)</f>
        <v>2753.948148148148</v>
      </c>
      <c r="BD46" s="122">
        <f>+' HR Breakdown'!BB41*(1-Assumptions!$J106)</f>
        <v>2753.948148148148</v>
      </c>
      <c r="BE46" s="122">
        <f>+' HR Breakdown'!BC41*(1-Assumptions!$J106)</f>
        <v>2753.948148148148</v>
      </c>
      <c r="BF46" s="122">
        <f>+' HR Breakdown'!BD41*(1-Assumptions!$J106)</f>
        <v>2753.948148148148</v>
      </c>
      <c r="BG46" s="122">
        <f>+' HR Breakdown'!BE41*(1-Assumptions!$J106)</f>
        <v>2753.948148148148</v>
      </c>
      <c r="BH46" s="122">
        <f>+' HR Breakdown'!BF41*(1-Assumptions!$J106)</f>
        <v>2753.948148148148</v>
      </c>
      <c r="BI46" s="122">
        <f>+' HR Breakdown'!BG41*(1-Assumptions!$J106)</f>
        <v>2753.948148148148</v>
      </c>
      <c r="BJ46" s="122">
        <f>+' HR Breakdown'!BH41*(1-Assumptions!$J106)</f>
        <v>2753.948148148148</v>
      </c>
      <c r="BK46" s="122">
        <f>+' HR Breakdown'!BI41*(1-Assumptions!$J106)</f>
        <v>2753.948148148148</v>
      </c>
      <c r="BL46" s="123">
        <f>+' HR Breakdown'!BJ41*(1-Assumptions!$J106)</f>
        <v>2753.948148148148</v>
      </c>
    </row>
    <row r="47" spans="2:64" s="341" customFormat="1" ht="25.95" customHeight="1" outlineLevel="3">
      <c r="B47" s="347" t="str">
        <f>+Assumptions!B107</f>
        <v>CTO</v>
      </c>
      <c r="C47" s="348"/>
      <c r="D47" s="1020">
        <f>+Assumptions!C107</f>
        <v>0</v>
      </c>
      <c r="E47" s="122">
        <f>+' HR Breakdown'!C42*(1-Assumptions!$J107)</f>
        <v>0</v>
      </c>
      <c r="F47" s="122">
        <f>+' HR Breakdown'!D42*(1-Assumptions!$J107)</f>
        <v>0</v>
      </c>
      <c r="G47" s="122">
        <f>+' HR Breakdown'!E42*(1-Assumptions!$J107)</f>
        <v>0</v>
      </c>
      <c r="H47" s="122">
        <f>+' HR Breakdown'!F42*(1-Assumptions!$J107)</f>
        <v>0</v>
      </c>
      <c r="I47" s="122">
        <f>+' HR Breakdown'!G42*(1-Assumptions!$J107)</f>
        <v>0</v>
      </c>
      <c r="J47" s="122">
        <f>+' HR Breakdown'!H42*(1-Assumptions!$J107)</f>
        <v>0</v>
      </c>
      <c r="K47" s="122">
        <f>+' HR Breakdown'!I42*(1-Assumptions!$J107)</f>
        <v>0</v>
      </c>
      <c r="L47" s="122">
        <f>+' HR Breakdown'!J42*(1-Assumptions!$J107)</f>
        <v>0</v>
      </c>
      <c r="M47" s="122">
        <f>+' HR Breakdown'!K42*(1-Assumptions!$J107)</f>
        <v>0</v>
      </c>
      <c r="N47" s="122">
        <f>+' HR Breakdown'!L42*(1-Assumptions!$J107)</f>
        <v>0</v>
      </c>
      <c r="O47" s="122">
        <f>+' HR Breakdown'!M42*(1-Assumptions!$J107)</f>
        <v>0</v>
      </c>
      <c r="P47" s="123">
        <f>+' HR Breakdown'!N42*(1-Assumptions!$J107)</f>
        <v>0</v>
      </c>
      <c r="Q47" s="121">
        <f>+' HR Breakdown'!O42*(1-Assumptions!$J107)</f>
        <v>0</v>
      </c>
      <c r="R47" s="122">
        <f>+' HR Breakdown'!P42*(1-Assumptions!$J107)</f>
        <v>0</v>
      </c>
      <c r="S47" s="122">
        <f>+' HR Breakdown'!Q42*(1-Assumptions!$J107)</f>
        <v>0</v>
      </c>
      <c r="T47" s="122">
        <f>+' HR Breakdown'!R42*(1-Assumptions!$J107)</f>
        <v>0</v>
      </c>
      <c r="U47" s="122">
        <f>+' HR Breakdown'!S42*(1-Assumptions!$J107)</f>
        <v>0</v>
      </c>
      <c r="V47" s="122">
        <f>+' HR Breakdown'!T42*(1-Assumptions!$J107)</f>
        <v>0</v>
      </c>
      <c r="W47" s="122">
        <f>+' HR Breakdown'!U42*(1-Assumptions!$J107)</f>
        <v>0</v>
      </c>
      <c r="X47" s="122">
        <f>+' HR Breakdown'!V42*(1-Assumptions!$J107)</f>
        <v>0</v>
      </c>
      <c r="Y47" s="122">
        <f>+' HR Breakdown'!W42*(1-Assumptions!$J107)</f>
        <v>0</v>
      </c>
      <c r="Z47" s="122">
        <f>+' HR Breakdown'!X42*(1-Assumptions!$J107)</f>
        <v>0</v>
      </c>
      <c r="AA47" s="122">
        <f>+' HR Breakdown'!Y42*(1-Assumptions!$J107)</f>
        <v>0</v>
      </c>
      <c r="AB47" s="123">
        <f>+' HR Breakdown'!Z42*(1-Assumptions!$J107)</f>
        <v>0</v>
      </c>
      <c r="AC47" s="121">
        <f>+' HR Breakdown'!AA42*(1-Assumptions!$J107)</f>
        <v>2524.4524691358024</v>
      </c>
      <c r="AD47" s="122">
        <f>+' HR Breakdown'!AB42*(1-Assumptions!$J107)</f>
        <v>2524.4524691358024</v>
      </c>
      <c r="AE47" s="122">
        <f>+' HR Breakdown'!AC42*(1-Assumptions!$J107)</f>
        <v>2524.4524691358024</v>
      </c>
      <c r="AF47" s="122">
        <f>+' HR Breakdown'!AD42*(1-Assumptions!$J107)</f>
        <v>2524.4524691358024</v>
      </c>
      <c r="AG47" s="122">
        <f>+' HR Breakdown'!AE42*(1-Assumptions!$J107)</f>
        <v>2524.4524691358024</v>
      </c>
      <c r="AH47" s="122">
        <f>+' HR Breakdown'!AF42*(1-Assumptions!$J107)</f>
        <v>2524.4524691358024</v>
      </c>
      <c r="AI47" s="122">
        <f>+' HR Breakdown'!AG42*(1-Assumptions!$J107)</f>
        <v>2524.4524691358024</v>
      </c>
      <c r="AJ47" s="122">
        <f>+' HR Breakdown'!AH42*(1-Assumptions!$J107)</f>
        <v>2524.4524691358024</v>
      </c>
      <c r="AK47" s="122">
        <f>+' HR Breakdown'!AI42*(1-Assumptions!$J107)</f>
        <v>2524.4524691358024</v>
      </c>
      <c r="AL47" s="122">
        <f>+' HR Breakdown'!AJ42*(1-Assumptions!$J107)</f>
        <v>2524.4524691358024</v>
      </c>
      <c r="AM47" s="122">
        <f>+' HR Breakdown'!AK42*(1-Assumptions!$J107)</f>
        <v>2524.4524691358024</v>
      </c>
      <c r="AN47" s="123">
        <f>+' HR Breakdown'!AL42*(1-Assumptions!$J107)</f>
        <v>2524.4524691358024</v>
      </c>
      <c r="AO47" s="121">
        <f>+' HR Breakdown'!AM42*(1-Assumptions!$J107)</f>
        <v>2753.948148148148</v>
      </c>
      <c r="AP47" s="122">
        <f>+' HR Breakdown'!AN42*(1-Assumptions!$J107)</f>
        <v>2753.948148148148</v>
      </c>
      <c r="AQ47" s="122">
        <f>+' HR Breakdown'!AO42*(1-Assumptions!$J107)</f>
        <v>2753.948148148148</v>
      </c>
      <c r="AR47" s="122">
        <f>+' HR Breakdown'!AP42*(1-Assumptions!$J107)</f>
        <v>2753.948148148148</v>
      </c>
      <c r="AS47" s="122">
        <f>+' HR Breakdown'!AQ42*(1-Assumptions!$J107)</f>
        <v>2753.948148148148</v>
      </c>
      <c r="AT47" s="122">
        <f>+' HR Breakdown'!AR42*(1-Assumptions!$J107)</f>
        <v>2753.948148148148</v>
      </c>
      <c r="AU47" s="122">
        <f>+' HR Breakdown'!AS42*(1-Assumptions!$J107)</f>
        <v>2753.948148148148</v>
      </c>
      <c r="AV47" s="122">
        <f>+' HR Breakdown'!AT42*(1-Assumptions!$J107)</f>
        <v>2753.948148148148</v>
      </c>
      <c r="AW47" s="122">
        <f>+' HR Breakdown'!AU42*(1-Assumptions!$J107)</f>
        <v>2753.948148148148</v>
      </c>
      <c r="AX47" s="122">
        <f>+' HR Breakdown'!AV42*(1-Assumptions!$J107)</f>
        <v>2753.948148148148</v>
      </c>
      <c r="AY47" s="122">
        <f>+' HR Breakdown'!AW42*(1-Assumptions!$J107)</f>
        <v>2753.948148148148</v>
      </c>
      <c r="AZ47" s="123">
        <f>+' HR Breakdown'!AX42*(1-Assumptions!$J107)</f>
        <v>2753.948148148148</v>
      </c>
      <c r="BA47" s="121">
        <f>+' HR Breakdown'!AY42*(1-Assumptions!$J107)</f>
        <v>2753.948148148148</v>
      </c>
      <c r="BB47" s="122">
        <f>+' HR Breakdown'!AZ42*(1-Assumptions!$J107)</f>
        <v>2753.948148148148</v>
      </c>
      <c r="BC47" s="122">
        <f>+' HR Breakdown'!BA42*(1-Assumptions!$J107)</f>
        <v>2753.948148148148</v>
      </c>
      <c r="BD47" s="122">
        <f>+' HR Breakdown'!BB42*(1-Assumptions!$J107)</f>
        <v>2753.948148148148</v>
      </c>
      <c r="BE47" s="122">
        <f>+' HR Breakdown'!BC42*(1-Assumptions!$J107)</f>
        <v>2753.948148148148</v>
      </c>
      <c r="BF47" s="122">
        <f>+' HR Breakdown'!BD42*(1-Assumptions!$J107)</f>
        <v>2753.948148148148</v>
      </c>
      <c r="BG47" s="122">
        <f>+' HR Breakdown'!BE42*(1-Assumptions!$J107)</f>
        <v>2753.948148148148</v>
      </c>
      <c r="BH47" s="122">
        <f>+' HR Breakdown'!BF42*(1-Assumptions!$J107)</f>
        <v>2753.948148148148</v>
      </c>
      <c r="BI47" s="122">
        <f>+' HR Breakdown'!BG42*(1-Assumptions!$J107)</f>
        <v>2753.948148148148</v>
      </c>
      <c r="BJ47" s="122">
        <f>+' HR Breakdown'!BH42*(1-Assumptions!$J107)</f>
        <v>2753.948148148148</v>
      </c>
      <c r="BK47" s="122">
        <f>+' HR Breakdown'!BI42*(1-Assumptions!$J107)</f>
        <v>2753.948148148148</v>
      </c>
      <c r="BL47" s="123">
        <f>+' HR Breakdown'!BJ42*(1-Assumptions!$J107)</f>
        <v>2753.948148148148</v>
      </c>
    </row>
    <row r="48" spans="2:64" s="341" customFormat="1" ht="25.95" customHeight="1" outlineLevel="3">
      <c r="B48" s="347" t="str">
        <f>+Assumptions!B108</f>
        <v>Sales Manager</v>
      </c>
      <c r="C48" s="348"/>
      <c r="D48" s="1020">
        <f>+Assumptions!C108</f>
        <v>0</v>
      </c>
      <c r="E48" s="122">
        <f>+' HR Breakdown'!C43*(1-Assumptions!$J108)</f>
        <v>0</v>
      </c>
      <c r="F48" s="122">
        <f>+' HR Breakdown'!D43*(1-Assumptions!$J108)</f>
        <v>0</v>
      </c>
      <c r="G48" s="122">
        <f>+' HR Breakdown'!E43*(1-Assumptions!$J108)</f>
        <v>0</v>
      </c>
      <c r="H48" s="122">
        <f>+' HR Breakdown'!F43*(1-Assumptions!$J108)</f>
        <v>0</v>
      </c>
      <c r="I48" s="122">
        <f>+' HR Breakdown'!G43*(1-Assumptions!$J108)</f>
        <v>0</v>
      </c>
      <c r="J48" s="122">
        <f>+' HR Breakdown'!H43*(1-Assumptions!$J108)</f>
        <v>0</v>
      </c>
      <c r="K48" s="122">
        <f>+' HR Breakdown'!I43*(1-Assumptions!$J108)</f>
        <v>0</v>
      </c>
      <c r="L48" s="122">
        <f>+' HR Breakdown'!J43*(1-Assumptions!$J108)</f>
        <v>0</v>
      </c>
      <c r="M48" s="122">
        <f>+' HR Breakdown'!K43*(1-Assumptions!$J108)</f>
        <v>0</v>
      </c>
      <c r="N48" s="122">
        <f>+' HR Breakdown'!L43*(1-Assumptions!$J108)</f>
        <v>0</v>
      </c>
      <c r="O48" s="122">
        <f>+' HR Breakdown'!M43*(1-Assumptions!$J108)</f>
        <v>0</v>
      </c>
      <c r="P48" s="123">
        <f>+' HR Breakdown'!N43*(1-Assumptions!$J108)</f>
        <v>0</v>
      </c>
      <c r="Q48" s="121">
        <f>+' HR Breakdown'!O43*(1-Assumptions!$J108)</f>
        <v>0</v>
      </c>
      <c r="R48" s="122">
        <f>+' HR Breakdown'!P43*(1-Assumptions!$J108)</f>
        <v>0</v>
      </c>
      <c r="S48" s="122">
        <f>+' HR Breakdown'!Q43*(1-Assumptions!$J108)</f>
        <v>0</v>
      </c>
      <c r="T48" s="122">
        <f>+' HR Breakdown'!R43*(1-Assumptions!$J108)</f>
        <v>0</v>
      </c>
      <c r="U48" s="122">
        <f>+' HR Breakdown'!S43*(1-Assumptions!$J108)</f>
        <v>0</v>
      </c>
      <c r="V48" s="122">
        <f>+' HR Breakdown'!T43*(1-Assumptions!$J108)</f>
        <v>0</v>
      </c>
      <c r="W48" s="122">
        <f>+' HR Breakdown'!U43*(1-Assumptions!$J108)</f>
        <v>0</v>
      </c>
      <c r="X48" s="122">
        <f>+' HR Breakdown'!V43*(1-Assumptions!$J108)</f>
        <v>0</v>
      </c>
      <c r="Y48" s="122">
        <f>+' HR Breakdown'!W43*(1-Assumptions!$J108)</f>
        <v>0</v>
      </c>
      <c r="Z48" s="122">
        <f>+' HR Breakdown'!X43*(1-Assumptions!$J108)</f>
        <v>0</v>
      </c>
      <c r="AA48" s="122">
        <f>+' HR Breakdown'!Y43*(1-Assumptions!$J108)</f>
        <v>0</v>
      </c>
      <c r="AB48" s="123">
        <f>+' HR Breakdown'!Z43*(1-Assumptions!$J108)</f>
        <v>0</v>
      </c>
      <c r="AC48" s="121">
        <f>+' HR Breakdown'!AA43*(1-Assumptions!$J108)</f>
        <v>2524.4524691358024</v>
      </c>
      <c r="AD48" s="122">
        <f>+' HR Breakdown'!AB43*(1-Assumptions!$J108)</f>
        <v>2524.4524691358024</v>
      </c>
      <c r="AE48" s="122">
        <f>+' HR Breakdown'!AC43*(1-Assumptions!$J108)</f>
        <v>2524.4524691358024</v>
      </c>
      <c r="AF48" s="122">
        <f>+' HR Breakdown'!AD43*(1-Assumptions!$J108)</f>
        <v>2524.4524691358024</v>
      </c>
      <c r="AG48" s="122">
        <f>+' HR Breakdown'!AE43*(1-Assumptions!$J108)</f>
        <v>2524.4524691358024</v>
      </c>
      <c r="AH48" s="122">
        <f>+' HR Breakdown'!AF43*(1-Assumptions!$J108)</f>
        <v>2524.4524691358024</v>
      </c>
      <c r="AI48" s="122">
        <f>+' HR Breakdown'!AG43*(1-Assumptions!$J108)</f>
        <v>2524.4524691358024</v>
      </c>
      <c r="AJ48" s="122">
        <f>+' HR Breakdown'!AH43*(1-Assumptions!$J108)</f>
        <v>2524.4524691358024</v>
      </c>
      <c r="AK48" s="122">
        <f>+' HR Breakdown'!AI43*(1-Assumptions!$J108)</f>
        <v>2524.4524691358024</v>
      </c>
      <c r="AL48" s="122">
        <f>+' HR Breakdown'!AJ43*(1-Assumptions!$J108)</f>
        <v>2524.4524691358024</v>
      </c>
      <c r="AM48" s="122">
        <f>+' HR Breakdown'!AK43*(1-Assumptions!$J108)</f>
        <v>2524.4524691358024</v>
      </c>
      <c r="AN48" s="123">
        <f>+' HR Breakdown'!AL43*(1-Assumptions!$J108)</f>
        <v>2524.4524691358024</v>
      </c>
      <c r="AO48" s="121">
        <f>+' HR Breakdown'!AM43*(1-Assumptions!$J108)</f>
        <v>2524.4524691358024</v>
      </c>
      <c r="AP48" s="122">
        <f>+' HR Breakdown'!AN43*(1-Assumptions!$J108)</f>
        <v>2524.4524691358024</v>
      </c>
      <c r="AQ48" s="122">
        <f>+' HR Breakdown'!AO43*(1-Assumptions!$J108)</f>
        <v>2524.4524691358024</v>
      </c>
      <c r="AR48" s="122">
        <f>+' HR Breakdown'!AP43*(1-Assumptions!$J108)</f>
        <v>2524.4524691358024</v>
      </c>
      <c r="AS48" s="122">
        <f>+' HR Breakdown'!AQ43*(1-Assumptions!$J108)</f>
        <v>2524.4524691358024</v>
      </c>
      <c r="AT48" s="122">
        <f>+' HR Breakdown'!AR43*(1-Assumptions!$J108)</f>
        <v>2524.4524691358024</v>
      </c>
      <c r="AU48" s="122">
        <f>+' HR Breakdown'!AS43*(1-Assumptions!$J108)</f>
        <v>2524.4524691358024</v>
      </c>
      <c r="AV48" s="122">
        <f>+' HR Breakdown'!AT43*(1-Assumptions!$J108)</f>
        <v>2524.4524691358024</v>
      </c>
      <c r="AW48" s="122">
        <f>+' HR Breakdown'!AU43*(1-Assumptions!$J108)</f>
        <v>2524.4524691358024</v>
      </c>
      <c r="AX48" s="122">
        <f>+' HR Breakdown'!AV43*(1-Assumptions!$J108)</f>
        <v>2524.4524691358024</v>
      </c>
      <c r="AY48" s="122">
        <f>+' HR Breakdown'!AW43*(1-Assumptions!$J108)</f>
        <v>2524.4524691358024</v>
      </c>
      <c r="AZ48" s="123">
        <f>+' HR Breakdown'!AX43*(1-Assumptions!$J108)</f>
        <v>2524.4524691358024</v>
      </c>
      <c r="BA48" s="121">
        <f>+' HR Breakdown'!AY43*(1-Assumptions!$J108)</f>
        <v>2524.4524691358024</v>
      </c>
      <c r="BB48" s="122">
        <f>+' HR Breakdown'!AZ43*(1-Assumptions!$J108)</f>
        <v>2524.4524691358024</v>
      </c>
      <c r="BC48" s="122">
        <f>+' HR Breakdown'!BA43*(1-Assumptions!$J108)</f>
        <v>2524.4524691358024</v>
      </c>
      <c r="BD48" s="122">
        <f>+' HR Breakdown'!BB43*(1-Assumptions!$J108)</f>
        <v>2524.4524691358024</v>
      </c>
      <c r="BE48" s="122">
        <f>+' HR Breakdown'!BC43*(1-Assumptions!$J108)</f>
        <v>2524.4524691358024</v>
      </c>
      <c r="BF48" s="122">
        <f>+' HR Breakdown'!BD43*(1-Assumptions!$J108)</f>
        <v>2524.4524691358024</v>
      </c>
      <c r="BG48" s="122">
        <f>+' HR Breakdown'!BE43*(1-Assumptions!$J108)</f>
        <v>2524.4524691358024</v>
      </c>
      <c r="BH48" s="122">
        <f>+' HR Breakdown'!BF43*(1-Assumptions!$J108)</f>
        <v>2524.4524691358024</v>
      </c>
      <c r="BI48" s="122">
        <f>+' HR Breakdown'!BG43*(1-Assumptions!$J108)</f>
        <v>2524.4524691358024</v>
      </c>
      <c r="BJ48" s="122">
        <f>+' HR Breakdown'!BH43*(1-Assumptions!$J108)</f>
        <v>2524.4524691358024</v>
      </c>
      <c r="BK48" s="122">
        <f>+' HR Breakdown'!BI43*(1-Assumptions!$J108)</f>
        <v>2524.4524691358024</v>
      </c>
      <c r="BL48" s="123">
        <f>+' HR Breakdown'!BJ43*(1-Assumptions!$J108)</f>
        <v>2524.4524691358024</v>
      </c>
    </row>
    <row r="49" spans="2:64" s="341" customFormat="1" ht="25.95" customHeight="1" outlineLevel="3">
      <c r="B49" s="347" t="str">
        <f>+Assumptions!B109</f>
        <v>Business Developer</v>
      </c>
      <c r="C49" s="348"/>
      <c r="D49" s="1020">
        <f>+Assumptions!C109</f>
        <v>0</v>
      </c>
      <c r="E49" s="122">
        <f>+' HR Breakdown'!C44*(1-Assumptions!$J109)</f>
        <v>0</v>
      </c>
      <c r="F49" s="122">
        <f>+' HR Breakdown'!D44*(1-Assumptions!$J109)</f>
        <v>0</v>
      </c>
      <c r="G49" s="122">
        <f>+' HR Breakdown'!E44*(1-Assumptions!$J109)</f>
        <v>0</v>
      </c>
      <c r="H49" s="122">
        <f>+' HR Breakdown'!F44*(1-Assumptions!$J109)</f>
        <v>0</v>
      </c>
      <c r="I49" s="122">
        <f>+' HR Breakdown'!G44*(1-Assumptions!$J109)</f>
        <v>0</v>
      </c>
      <c r="J49" s="122">
        <f>+' HR Breakdown'!H44*(1-Assumptions!$J109)</f>
        <v>0</v>
      </c>
      <c r="K49" s="122">
        <f>+' HR Breakdown'!I44*(1-Assumptions!$J109)</f>
        <v>0</v>
      </c>
      <c r="L49" s="122">
        <f>+' HR Breakdown'!J44*(1-Assumptions!$J109)</f>
        <v>0</v>
      </c>
      <c r="M49" s="122">
        <f>+' HR Breakdown'!K44*(1-Assumptions!$J109)</f>
        <v>0</v>
      </c>
      <c r="N49" s="122">
        <f>+' HR Breakdown'!L44*(1-Assumptions!$J109)</f>
        <v>0</v>
      </c>
      <c r="O49" s="122">
        <f>+' HR Breakdown'!M44*(1-Assumptions!$J109)</f>
        <v>0</v>
      </c>
      <c r="P49" s="123">
        <f>+' HR Breakdown'!N44*(1-Assumptions!$J109)</f>
        <v>0</v>
      </c>
      <c r="Q49" s="121">
        <f>+' HR Breakdown'!O44*(1-Assumptions!$J109)</f>
        <v>2524.4524691358024</v>
      </c>
      <c r="R49" s="122">
        <f>+' HR Breakdown'!P44*(1-Assumptions!$J109)</f>
        <v>2524.4524691358024</v>
      </c>
      <c r="S49" s="122">
        <f>+' HR Breakdown'!Q44*(1-Assumptions!$J109)</f>
        <v>2524.4524691358024</v>
      </c>
      <c r="T49" s="122">
        <f>+' HR Breakdown'!R44*(1-Assumptions!$J109)</f>
        <v>2524.4524691358024</v>
      </c>
      <c r="U49" s="122">
        <f>+' HR Breakdown'!S44*(1-Assumptions!$J109)</f>
        <v>2524.4524691358024</v>
      </c>
      <c r="V49" s="122">
        <f>+' HR Breakdown'!T44*(1-Assumptions!$J109)</f>
        <v>2524.4524691358024</v>
      </c>
      <c r="W49" s="122">
        <f>+' HR Breakdown'!U44*(1-Assumptions!$J109)</f>
        <v>2524.4524691358024</v>
      </c>
      <c r="X49" s="122">
        <f>+' HR Breakdown'!V44*(1-Assumptions!$J109)</f>
        <v>2524.4524691358024</v>
      </c>
      <c r="Y49" s="122">
        <f>+' HR Breakdown'!W44*(1-Assumptions!$J109)</f>
        <v>2524.4524691358024</v>
      </c>
      <c r="Z49" s="122">
        <f>+' HR Breakdown'!X44*(1-Assumptions!$J109)</f>
        <v>2524.4524691358024</v>
      </c>
      <c r="AA49" s="122">
        <f>+' HR Breakdown'!Y44*(1-Assumptions!$J109)</f>
        <v>2524.4524691358024</v>
      </c>
      <c r="AB49" s="123">
        <f>+' HR Breakdown'!Z44*(1-Assumptions!$J109)</f>
        <v>2524.4524691358024</v>
      </c>
      <c r="AC49" s="121">
        <f>+' HR Breakdown'!AA44*(1-Assumptions!$J109)</f>
        <v>2524.4524691358024</v>
      </c>
      <c r="AD49" s="122">
        <f>+' HR Breakdown'!AB44*(1-Assumptions!$J109)</f>
        <v>2524.4524691358024</v>
      </c>
      <c r="AE49" s="122">
        <f>+' HR Breakdown'!AC44*(1-Assumptions!$J109)</f>
        <v>2524.4524691358024</v>
      </c>
      <c r="AF49" s="122">
        <f>+' HR Breakdown'!AD44*(1-Assumptions!$J109)</f>
        <v>2524.4524691358024</v>
      </c>
      <c r="AG49" s="122">
        <f>+' HR Breakdown'!AE44*(1-Assumptions!$J109)</f>
        <v>2524.4524691358024</v>
      </c>
      <c r="AH49" s="122">
        <f>+' HR Breakdown'!AF44*(1-Assumptions!$J109)</f>
        <v>2524.4524691358024</v>
      </c>
      <c r="AI49" s="122">
        <f>+' HR Breakdown'!AG44*(1-Assumptions!$J109)</f>
        <v>2524.4524691358024</v>
      </c>
      <c r="AJ49" s="122">
        <f>+' HR Breakdown'!AH44*(1-Assumptions!$J109)</f>
        <v>2524.4524691358024</v>
      </c>
      <c r="AK49" s="122">
        <f>+' HR Breakdown'!AI44*(1-Assumptions!$J109)</f>
        <v>2524.4524691358024</v>
      </c>
      <c r="AL49" s="122">
        <f>+' HR Breakdown'!AJ44*(1-Assumptions!$J109)</f>
        <v>2524.4524691358024</v>
      </c>
      <c r="AM49" s="122">
        <f>+' HR Breakdown'!AK44*(1-Assumptions!$J109)</f>
        <v>2524.4524691358024</v>
      </c>
      <c r="AN49" s="123">
        <f>+' HR Breakdown'!AL44*(1-Assumptions!$J109)</f>
        <v>2524.4524691358024</v>
      </c>
      <c r="AO49" s="121">
        <f>+' HR Breakdown'!AM44*(1-Assumptions!$J109)</f>
        <v>2524.4524691358024</v>
      </c>
      <c r="AP49" s="122">
        <f>+' HR Breakdown'!AN44*(1-Assumptions!$J109)</f>
        <v>2524.4524691358024</v>
      </c>
      <c r="AQ49" s="122">
        <f>+' HR Breakdown'!AO44*(1-Assumptions!$J109)</f>
        <v>2524.4524691358024</v>
      </c>
      <c r="AR49" s="122">
        <f>+' HR Breakdown'!AP44*(1-Assumptions!$J109)</f>
        <v>2524.4524691358024</v>
      </c>
      <c r="AS49" s="122">
        <f>+' HR Breakdown'!AQ44*(1-Assumptions!$J109)</f>
        <v>2524.4524691358024</v>
      </c>
      <c r="AT49" s="122">
        <f>+' HR Breakdown'!AR44*(1-Assumptions!$J109)</f>
        <v>2524.4524691358024</v>
      </c>
      <c r="AU49" s="122">
        <f>+' HR Breakdown'!AS44*(1-Assumptions!$J109)</f>
        <v>2524.4524691358024</v>
      </c>
      <c r="AV49" s="122">
        <f>+' HR Breakdown'!AT44*(1-Assumptions!$J109)</f>
        <v>2524.4524691358024</v>
      </c>
      <c r="AW49" s="122">
        <f>+' HR Breakdown'!AU44*(1-Assumptions!$J109)</f>
        <v>2524.4524691358024</v>
      </c>
      <c r="AX49" s="122">
        <f>+' HR Breakdown'!AV44*(1-Assumptions!$J109)</f>
        <v>2524.4524691358024</v>
      </c>
      <c r="AY49" s="122">
        <f>+' HR Breakdown'!AW44*(1-Assumptions!$J109)</f>
        <v>2524.4524691358024</v>
      </c>
      <c r="AZ49" s="123">
        <f>+' HR Breakdown'!AX44*(1-Assumptions!$J109)</f>
        <v>2524.4524691358024</v>
      </c>
      <c r="BA49" s="121">
        <f>+' HR Breakdown'!AY44*(1-Assumptions!$J109)</f>
        <v>2524.4524691358024</v>
      </c>
      <c r="BB49" s="122">
        <f>+' HR Breakdown'!AZ44*(1-Assumptions!$J109)</f>
        <v>2524.4524691358024</v>
      </c>
      <c r="BC49" s="122">
        <f>+' HR Breakdown'!BA44*(1-Assumptions!$J109)</f>
        <v>2524.4524691358024</v>
      </c>
      <c r="BD49" s="122">
        <f>+' HR Breakdown'!BB44*(1-Assumptions!$J109)</f>
        <v>2524.4524691358024</v>
      </c>
      <c r="BE49" s="122">
        <f>+' HR Breakdown'!BC44*(1-Assumptions!$J109)</f>
        <v>2524.4524691358024</v>
      </c>
      <c r="BF49" s="122">
        <f>+' HR Breakdown'!BD44*(1-Assumptions!$J109)</f>
        <v>2524.4524691358024</v>
      </c>
      <c r="BG49" s="122">
        <f>+' HR Breakdown'!BE44*(1-Assumptions!$J109)</f>
        <v>2524.4524691358024</v>
      </c>
      <c r="BH49" s="122">
        <f>+' HR Breakdown'!BF44*(1-Assumptions!$J109)</f>
        <v>2524.4524691358024</v>
      </c>
      <c r="BI49" s="122">
        <f>+' HR Breakdown'!BG44*(1-Assumptions!$J109)</f>
        <v>2524.4524691358024</v>
      </c>
      <c r="BJ49" s="122">
        <f>+' HR Breakdown'!BH44*(1-Assumptions!$J109)</f>
        <v>2524.4524691358024</v>
      </c>
      <c r="BK49" s="122">
        <f>+' HR Breakdown'!BI44*(1-Assumptions!$J109)</f>
        <v>2524.4524691358024</v>
      </c>
      <c r="BL49" s="123">
        <f>+' HR Breakdown'!BJ44*(1-Assumptions!$J109)</f>
        <v>2524.4524691358024</v>
      </c>
    </row>
    <row r="50" spans="2:64" s="341" customFormat="1" ht="25.95" customHeight="1" outlineLevel="3">
      <c r="B50" s="347" t="str">
        <f>+Assumptions!B110</f>
        <v>Account Manager</v>
      </c>
      <c r="C50" s="348"/>
      <c r="D50" s="1020">
        <f>+Assumptions!C110</f>
        <v>0</v>
      </c>
      <c r="E50" s="122">
        <f>+' HR Breakdown'!C45*(1-Assumptions!$J110)</f>
        <v>0</v>
      </c>
      <c r="F50" s="122">
        <f>+' HR Breakdown'!D45*(1-Assumptions!$J110)</f>
        <v>0</v>
      </c>
      <c r="G50" s="122">
        <f>+' HR Breakdown'!E45*(1-Assumptions!$J110)</f>
        <v>0</v>
      </c>
      <c r="H50" s="122">
        <f>+' HR Breakdown'!F45*(1-Assumptions!$J110)</f>
        <v>0</v>
      </c>
      <c r="I50" s="122">
        <f>+' HR Breakdown'!G45*(1-Assumptions!$J110)</f>
        <v>0</v>
      </c>
      <c r="J50" s="122">
        <f>+' HR Breakdown'!H45*(1-Assumptions!$J110)</f>
        <v>0</v>
      </c>
      <c r="K50" s="122">
        <f>+' HR Breakdown'!I45*(1-Assumptions!$J110)</f>
        <v>0</v>
      </c>
      <c r="L50" s="122">
        <f>+' HR Breakdown'!J45*(1-Assumptions!$J110)</f>
        <v>0</v>
      </c>
      <c r="M50" s="122">
        <f>+' HR Breakdown'!K45*(1-Assumptions!$J110)</f>
        <v>0</v>
      </c>
      <c r="N50" s="122">
        <f>+' HR Breakdown'!L45*(1-Assumptions!$J110)</f>
        <v>2294.956790123457</v>
      </c>
      <c r="O50" s="122">
        <f>+' HR Breakdown'!M45*(1-Assumptions!$J110)</f>
        <v>2294.956790123457</v>
      </c>
      <c r="P50" s="123">
        <f>+' HR Breakdown'!N45*(1-Assumptions!$J110)</f>
        <v>2294.956790123457</v>
      </c>
      <c r="Q50" s="121">
        <f>+' HR Breakdown'!O45*(1-Assumptions!$J110)</f>
        <v>2524.4524691358024</v>
      </c>
      <c r="R50" s="122">
        <f>+' HR Breakdown'!P45*(1-Assumptions!$J110)</f>
        <v>2524.4524691358024</v>
      </c>
      <c r="S50" s="122">
        <f>+' HR Breakdown'!Q45*(1-Assumptions!$J110)</f>
        <v>2524.4524691358024</v>
      </c>
      <c r="T50" s="122">
        <f>+' HR Breakdown'!R45*(1-Assumptions!$J110)</f>
        <v>2524.4524691358024</v>
      </c>
      <c r="U50" s="122">
        <f>+' HR Breakdown'!S45*(1-Assumptions!$J110)</f>
        <v>2524.4524691358024</v>
      </c>
      <c r="V50" s="122">
        <f>+' HR Breakdown'!T45*(1-Assumptions!$J110)</f>
        <v>2524.4524691358024</v>
      </c>
      <c r="W50" s="122">
        <f>+' HR Breakdown'!U45*(1-Assumptions!$J110)</f>
        <v>2524.4524691358024</v>
      </c>
      <c r="X50" s="122">
        <f>+' HR Breakdown'!V45*(1-Assumptions!$J110)</f>
        <v>2524.4524691358024</v>
      </c>
      <c r="Y50" s="122">
        <f>+' HR Breakdown'!W45*(1-Assumptions!$J110)</f>
        <v>2524.4524691358024</v>
      </c>
      <c r="Z50" s="122">
        <f>+' HR Breakdown'!X45*(1-Assumptions!$J110)</f>
        <v>2524.4524691358024</v>
      </c>
      <c r="AA50" s="122">
        <f>+' HR Breakdown'!Y45*(1-Assumptions!$J110)</f>
        <v>2524.4524691358024</v>
      </c>
      <c r="AB50" s="123">
        <f>+' HR Breakdown'!Z45*(1-Assumptions!$J110)</f>
        <v>2524.4524691358024</v>
      </c>
      <c r="AC50" s="121">
        <f>+' HR Breakdown'!AA45*(1-Assumptions!$J110)</f>
        <v>5048.904938271605</v>
      </c>
      <c r="AD50" s="122">
        <f>+' HR Breakdown'!AB45*(1-Assumptions!$J110)</f>
        <v>5048.904938271605</v>
      </c>
      <c r="AE50" s="122">
        <f>+' HR Breakdown'!AC45*(1-Assumptions!$J110)</f>
        <v>5048.904938271605</v>
      </c>
      <c r="AF50" s="122">
        <f>+' HR Breakdown'!AD45*(1-Assumptions!$J110)</f>
        <v>5048.904938271605</v>
      </c>
      <c r="AG50" s="122">
        <f>+' HR Breakdown'!AE45*(1-Assumptions!$J110)</f>
        <v>5048.904938271605</v>
      </c>
      <c r="AH50" s="122">
        <f>+' HR Breakdown'!AF45*(1-Assumptions!$J110)</f>
        <v>5048.904938271605</v>
      </c>
      <c r="AI50" s="122">
        <f>+' HR Breakdown'!AG45*(1-Assumptions!$J110)</f>
        <v>5048.904938271605</v>
      </c>
      <c r="AJ50" s="122">
        <f>+' HR Breakdown'!AH45*(1-Assumptions!$J110)</f>
        <v>5048.904938271605</v>
      </c>
      <c r="AK50" s="122">
        <f>+' HR Breakdown'!AI45*(1-Assumptions!$J110)</f>
        <v>5048.904938271605</v>
      </c>
      <c r="AL50" s="122">
        <f>+' HR Breakdown'!AJ45*(1-Assumptions!$J110)</f>
        <v>5048.904938271605</v>
      </c>
      <c r="AM50" s="122">
        <f>+' HR Breakdown'!AK45*(1-Assumptions!$J110)</f>
        <v>5048.904938271605</v>
      </c>
      <c r="AN50" s="123">
        <f>+' HR Breakdown'!AL45*(1-Assumptions!$J110)</f>
        <v>5048.904938271605</v>
      </c>
      <c r="AO50" s="121">
        <f>+' HR Breakdown'!AM45*(1-Assumptions!$J110)</f>
        <v>5048.904938271605</v>
      </c>
      <c r="AP50" s="122">
        <f>+' HR Breakdown'!AN45*(1-Assumptions!$J110)</f>
        <v>5048.904938271605</v>
      </c>
      <c r="AQ50" s="122">
        <f>+' HR Breakdown'!AO45*(1-Assumptions!$J110)</f>
        <v>5048.904938271605</v>
      </c>
      <c r="AR50" s="122">
        <f>+' HR Breakdown'!AP45*(1-Assumptions!$J110)</f>
        <v>5048.904938271605</v>
      </c>
      <c r="AS50" s="122">
        <f>+' HR Breakdown'!AQ45*(1-Assumptions!$J110)</f>
        <v>5048.904938271605</v>
      </c>
      <c r="AT50" s="122">
        <f>+' HR Breakdown'!AR45*(1-Assumptions!$J110)</f>
        <v>5048.904938271605</v>
      </c>
      <c r="AU50" s="122">
        <f>+' HR Breakdown'!AS45*(1-Assumptions!$J110)</f>
        <v>5048.904938271605</v>
      </c>
      <c r="AV50" s="122">
        <f>+' HR Breakdown'!AT45*(1-Assumptions!$J110)</f>
        <v>5048.904938271605</v>
      </c>
      <c r="AW50" s="122">
        <f>+' HR Breakdown'!AU45*(1-Assumptions!$J110)</f>
        <v>5048.904938271605</v>
      </c>
      <c r="AX50" s="122">
        <f>+' HR Breakdown'!AV45*(1-Assumptions!$J110)</f>
        <v>5048.904938271605</v>
      </c>
      <c r="AY50" s="122">
        <f>+' HR Breakdown'!AW45*(1-Assumptions!$J110)</f>
        <v>5048.904938271605</v>
      </c>
      <c r="AZ50" s="123">
        <f>+' HR Breakdown'!AX45*(1-Assumptions!$J110)</f>
        <v>5048.904938271605</v>
      </c>
      <c r="BA50" s="121">
        <f>+' HR Breakdown'!AY45*(1-Assumptions!$J110)</f>
        <v>7573.357407407407</v>
      </c>
      <c r="BB50" s="122">
        <f>+' HR Breakdown'!AZ45*(1-Assumptions!$J110)</f>
        <v>7573.357407407407</v>
      </c>
      <c r="BC50" s="122">
        <f>+' HR Breakdown'!BA45*(1-Assumptions!$J110)</f>
        <v>7573.357407407407</v>
      </c>
      <c r="BD50" s="122">
        <f>+' HR Breakdown'!BB45*(1-Assumptions!$J110)</f>
        <v>7573.357407407407</v>
      </c>
      <c r="BE50" s="122">
        <f>+' HR Breakdown'!BC45*(1-Assumptions!$J110)</f>
        <v>7573.357407407407</v>
      </c>
      <c r="BF50" s="122">
        <f>+' HR Breakdown'!BD45*(1-Assumptions!$J110)</f>
        <v>7573.357407407407</v>
      </c>
      <c r="BG50" s="122">
        <f>+' HR Breakdown'!BE45*(1-Assumptions!$J110)</f>
        <v>7573.357407407407</v>
      </c>
      <c r="BH50" s="122">
        <f>+' HR Breakdown'!BF45*(1-Assumptions!$J110)</f>
        <v>7573.357407407407</v>
      </c>
      <c r="BI50" s="122">
        <f>+' HR Breakdown'!BG45*(1-Assumptions!$J110)</f>
        <v>7573.357407407407</v>
      </c>
      <c r="BJ50" s="122">
        <f>+' HR Breakdown'!BH45*(1-Assumptions!$J110)</f>
        <v>7573.357407407407</v>
      </c>
      <c r="BK50" s="122">
        <f>+' HR Breakdown'!BI45*(1-Assumptions!$J110)</f>
        <v>7573.357407407407</v>
      </c>
      <c r="BL50" s="123">
        <f>+' HR Breakdown'!BJ45*(1-Assumptions!$J110)</f>
        <v>7573.357407407407</v>
      </c>
    </row>
    <row r="51" spans="2:64" s="341" customFormat="1" ht="25.95" customHeight="1" outlineLevel="3">
      <c r="B51" s="347" t="str">
        <f>+Assumptions!B111</f>
        <v>CMO</v>
      </c>
      <c r="C51" s="348"/>
      <c r="D51" s="1020">
        <f>+Assumptions!C111</f>
        <v>0</v>
      </c>
      <c r="E51" s="122">
        <f>+' HR Breakdown'!C46*(1-Assumptions!$J111)</f>
        <v>0</v>
      </c>
      <c r="F51" s="122">
        <f>+' HR Breakdown'!D46*(1-Assumptions!$J111)</f>
        <v>0</v>
      </c>
      <c r="G51" s="122">
        <f>+' HR Breakdown'!E46*(1-Assumptions!$J111)</f>
        <v>0</v>
      </c>
      <c r="H51" s="122">
        <f>+' HR Breakdown'!F46*(1-Assumptions!$J111)</f>
        <v>0</v>
      </c>
      <c r="I51" s="122">
        <f>+' HR Breakdown'!G46*(1-Assumptions!$J111)</f>
        <v>0</v>
      </c>
      <c r="J51" s="122">
        <f>+' HR Breakdown'!H46*(1-Assumptions!$J111)</f>
        <v>0</v>
      </c>
      <c r="K51" s="122">
        <f>+' HR Breakdown'!I46*(1-Assumptions!$J111)</f>
        <v>0</v>
      </c>
      <c r="L51" s="122">
        <f>+' HR Breakdown'!J46*(1-Assumptions!$J111)</f>
        <v>0</v>
      </c>
      <c r="M51" s="122">
        <f>+' HR Breakdown'!K46*(1-Assumptions!$J111)</f>
        <v>0</v>
      </c>
      <c r="N51" s="122">
        <f>+' HR Breakdown'!L46*(1-Assumptions!$J111)</f>
        <v>0</v>
      </c>
      <c r="O51" s="122">
        <f>+' HR Breakdown'!M46*(1-Assumptions!$J111)</f>
        <v>0</v>
      </c>
      <c r="P51" s="123">
        <f>+' HR Breakdown'!N46*(1-Assumptions!$J111)</f>
        <v>0</v>
      </c>
      <c r="Q51" s="121">
        <f>+' HR Breakdown'!O46*(1-Assumptions!$J111)</f>
        <v>2294.956790123457</v>
      </c>
      <c r="R51" s="122">
        <f>+' HR Breakdown'!P46*(1-Assumptions!$J111)</f>
        <v>2294.956790123457</v>
      </c>
      <c r="S51" s="122">
        <f>+' HR Breakdown'!Q46*(1-Assumptions!$J111)</f>
        <v>2294.956790123457</v>
      </c>
      <c r="T51" s="122">
        <f>+' HR Breakdown'!R46*(1-Assumptions!$J111)</f>
        <v>2294.956790123457</v>
      </c>
      <c r="U51" s="122">
        <f>+' HR Breakdown'!S46*(1-Assumptions!$J111)</f>
        <v>2294.956790123457</v>
      </c>
      <c r="V51" s="122">
        <f>+' HR Breakdown'!T46*(1-Assumptions!$J111)</f>
        <v>2294.956790123457</v>
      </c>
      <c r="W51" s="122">
        <f>+' HR Breakdown'!U46*(1-Assumptions!$J111)</f>
        <v>2294.956790123457</v>
      </c>
      <c r="X51" s="122">
        <f>+' HR Breakdown'!V46*(1-Assumptions!$J111)</f>
        <v>2294.956790123457</v>
      </c>
      <c r="Y51" s="122">
        <f>+' HR Breakdown'!W46*(1-Assumptions!$J111)</f>
        <v>2294.956790123457</v>
      </c>
      <c r="Z51" s="122">
        <f>+' HR Breakdown'!X46*(1-Assumptions!$J111)</f>
        <v>2294.956790123457</v>
      </c>
      <c r="AA51" s="122">
        <f>+' HR Breakdown'!Y46*(1-Assumptions!$J111)</f>
        <v>2294.956790123457</v>
      </c>
      <c r="AB51" s="123">
        <f>+' HR Breakdown'!Z46*(1-Assumptions!$J111)</f>
        <v>2294.956790123457</v>
      </c>
      <c r="AC51" s="121">
        <f>+' HR Breakdown'!AA46*(1-Assumptions!$J111)</f>
        <v>2524.4524691358024</v>
      </c>
      <c r="AD51" s="122">
        <f>+' HR Breakdown'!AB46*(1-Assumptions!$J111)</f>
        <v>2524.4524691358024</v>
      </c>
      <c r="AE51" s="122">
        <f>+' HR Breakdown'!AC46*(1-Assumptions!$J111)</f>
        <v>2524.4524691358024</v>
      </c>
      <c r="AF51" s="122">
        <f>+' HR Breakdown'!AD46*(1-Assumptions!$J111)</f>
        <v>2524.4524691358024</v>
      </c>
      <c r="AG51" s="122">
        <f>+' HR Breakdown'!AE46*(1-Assumptions!$J111)</f>
        <v>2524.4524691358024</v>
      </c>
      <c r="AH51" s="122">
        <f>+' HR Breakdown'!AF46*(1-Assumptions!$J111)</f>
        <v>2524.4524691358024</v>
      </c>
      <c r="AI51" s="122">
        <f>+' HR Breakdown'!AG46*(1-Assumptions!$J111)</f>
        <v>2524.4524691358024</v>
      </c>
      <c r="AJ51" s="122">
        <f>+' HR Breakdown'!AH46*(1-Assumptions!$J111)</f>
        <v>2524.4524691358024</v>
      </c>
      <c r="AK51" s="122">
        <f>+' HR Breakdown'!AI46*(1-Assumptions!$J111)</f>
        <v>2524.4524691358024</v>
      </c>
      <c r="AL51" s="122">
        <f>+' HR Breakdown'!AJ46*(1-Assumptions!$J111)</f>
        <v>2524.4524691358024</v>
      </c>
      <c r="AM51" s="122">
        <f>+' HR Breakdown'!AK46*(1-Assumptions!$J111)</f>
        <v>2524.4524691358024</v>
      </c>
      <c r="AN51" s="123">
        <f>+' HR Breakdown'!AL46*(1-Assumptions!$J111)</f>
        <v>2524.4524691358024</v>
      </c>
      <c r="AO51" s="121">
        <f>+' HR Breakdown'!AM46*(1-Assumptions!$J111)</f>
        <v>2524.4524691358024</v>
      </c>
      <c r="AP51" s="122">
        <f>+' HR Breakdown'!AN46*(1-Assumptions!$J111)</f>
        <v>2524.4524691358024</v>
      </c>
      <c r="AQ51" s="122">
        <f>+' HR Breakdown'!AO46*(1-Assumptions!$J111)</f>
        <v>2524.4524691358024</v>
      </c>
      <c r="AR51" s="122">
        <f>+' HR Breakdown'!AP46*(1-Assumptions!$J111)</f>
        <v>2524.4524691358024</v>
      </c>
      <c r="AS51" s="122">
        <f>+' HR Breakdown'!AQ46*(1-Assumptions!$J111)</f>
        <v>2524.4524691358024</v>
      </c>
      <c r="AT51" s="122">
        <f>+' HR Breakdown'!AR46*(1-Assumptions!$J111)</f>
        <v>2524.4524691358024</v>
      </c>
      <c r="AU51" s="122">
        <f>+' HR Breakdown'!AS46*(1-Assumptions!$J111)</f>
        <v>2524.4524691358024</v>
      </c>
      <c r="AV51" s="122">
        <f>+' HR Breakdown'!AT46*(1-Assumptions!$J111)</f>
        <v>2524.4524691358024</v>
      </c>
      <c r="AW51" s="122">
        <f>+' HR Breakdown'!AU46*(1-Assumptions!$J111)</f>
        <v>2524.4524691358024</v>
      </c>
      <c r="AX51" s="122">
        <f>+' HR Breakdown'!AV46*(1-Assumptions!$J111)</f>
        <v>2524.4524691358024</v>
      </c>
      <c r="AY51" s="122">
        <f>+' HR Breakdown'!AW46*(1-Assumptions!$J111)</f>
        <v>2524.4524691358024</v>
      </c>
      <c r="AZ51" s="123">
        <f>+' HR Breakdown'!AX46*(1-Assumptions!$J111)</f>
        <v>2524.4524691358024</v>
      </c>
      <c r="BA51" s="121">
        <f>+' HR Breakdown'!AY46*(1-Assumptions!$J111)</f>
        <v>2524.4524691358024</v>
      </c>
      <c r="BB51" s="122">
        <f>+' HR Breakdown'!AZ46*(1-Assumptions!$J111)</f>
        <v>2524.4524691358024</v>
      </c>
      <c r="BC51" s="122">
        <f>+' HR Breakdown'!BA46*(1-Assumptions!$J111)</f>
        <v>2524.4524691358024</v>
      </c>
      <c r="BD51" s="122">
        <f>+' HR Breakdown'!BB46*(1-Assumptions!$J111)</f>
        <v>2524.4524691358024</v>
      </c>
      <c r="BE51" s="122">
        <f>+' HR Breakdown'!BC46*(1-Assumptions!$J111)</f>
        <v>2524.4524691358024</v>
      </c>
      <c r="BF51" s="122">
        <f>+' HR Breakdown'!BD46*(1-Assumptions!$J111)</f>
        <v>2524.4524691358024</v>
      </c>
      <c r="BG51" s="122">
        <f>+' HR Breakdown'!BE46*(1-Assumptions!$J111)</f>
        <v>2524.4524691358024</v>
      </c>
      <c r="BH51" s="122">
        <f>+' HR Breakdown'!BF46*(1-Assumptions!$J111)</f>
        <v>2524.4524691358024</v>
      </c>
      <c r="BI51" s="122">
        <f>+' HR Breakdown'!BG46*(1-Assumptions!$J111)</f>
        <v>2524.4524691358024</v>
      </c>
      <c r="BJ51" s="122">
        <f>+' HR Breakdown'!BH46*(1-Assumptions!$J111)</f>
        <v>2524.4524691358024</v>
      </c>
      <c r="BK51" s="122">
        <f>+' HR Breakdown'!BI46*(1-Assumptions!$J111)</f>
        <v>2524.4524691358024</v>
      </c>
      <c r="BL51" s="123">
        <f>+' HR Breakdown'!BJ46*(1-Assumptions!$J111)</f>
        <v>2524.4524691358024</v>
      </c>
    </row>
    <row r="52" spans="2:64" s="341" customFormat="1" ht="25.95" customHeight="1" outlineLevel="3">
      <c r="B52" s="346" t="str">
        <f>+Assumptions!B112</f>
        <v>Marketing Specialist</v>
      </c>
      <c r="C52" s="348"/>
      <c r="D52" s="1020">
        <f>+Assumptions!C112</f>
        <v>0</v>
      </c>
      <c r="E52" s="122">
        <f>+' HR Breakdown'!C47*(1-Assumptions!$J112)</f>
        <v>0</v>
      </c>
      <c r="F52" s="122">
        <f>+' HR Breakdown'!D47*(1-Assumptions!$J112)</f>
        <v>0</v>
      </c>
      <c r="G52" s="122">
        <f>+' HR Breakdown'!E47*(1-Assumptions!$J112)</f>
        <v>0</v>
      </c>
      <c r="H52" s="122">
        <f>+' HR Breakdown'!F47*(1-Assumptions!$J112)</f>
        <v>0</v>
      </c>
      <c r="I52" s="122">
        <f>+' HR Breakdown'!G47*(1-Assumptions!$J112)</f>
        <v>0</v>
      </c>
      <c r="J52" s="122">
        <f>+' HR Breakdown'!H47*(1-Assumptions!$J112)</f>
        <v>0</v>
      </c>
      <c r="K52" s="122">
        <f>+' HR Breakdown'!I47*(1-Assumptions!$J112)</f>
        <v>0</v>
      </c>
      <c r="L52" s="122">
        <f>+' HR Breakdown'!J47*(1-Assumptions!$J112)</f>
        <v>0</v>
      </c>
      <c r="M52" s="122">
        <f>+' HR Breakdown'!K47*(1-Assumptions!$J112)</f>
        <v>0</v>
      </c>
      <c r="N52" s="122">
        <f>+' HR Breakdown'!L47*(1-Assumptions!$J112)</f>
        <v>0</v>
      </c>
      <c r="O52" s="122">
        <f>+' HR Breakdown'!M47*(1-Assumptions!$J112)</f>
        <v>0</v>
      </c>
      <c r="P52" s="123">
        <f>+' HR Breakdown'!N47*(1-Assumptions!$J112)</f>
        <v>0</v>
      </c>
      <c r="Q52" s="121">
        <f>+' HR Breakdown'!O47*(1-Assumptions!$J112)</f>
        <v>0</v>
      </c>
      <c r="R52" s="122">
        <f>+' HR Breakdown'!P47*(1-Assumptions!$J112)</f>
        <v>0</v>
      </c>
      <c r="S52" s="122">
        <f>+' HR Breakdown'!Q47*(1-Assumptions!$J112)</f>
        <v>0</v>
      </c>
      <c r="T52" s="122">
        <f>+' HR Breakdown'!R47*(1-Assumptions!$J112)</f>
        <v>0</v>
      </c>
      <c r="U52" s="122">
        <f>+' HR Breakdown'!S47*(1-Assumptions!$J112)</f>
        <v>0</v>
      </c>
      <c r="V52" s="122">
        <f>+' HR Breakdown'!T47*(1-Assumptions!$J112)</f>
        <v>0</v>
      </c>
      <c r="W52" s="122">
        <f>+' HR Breakdown'!U47*(1-Assumptions!$J112)</f>
        <v>0</v>
      </c>
      <c r="X52" s="122">
        <f>+' HR Breakdown'!V47*(1-Assumptions!$J112)</f>
        <v>0</v>
      </c>
      <c r="Y52" s="122">
        <f>+' HR Breakdown'!W47*(1-Assumptions!$J112)</f>
        <v>0</v>
      </c>
      <c r="Z52" s="122">
        <f>+' HR Breakdown'!X47*(1-Assumptions!$J112)</f>
        <v>0</v>
      </c>
      <c r="AA52" s="122">
        <f>+' HR Breakdown'!Y47*(1-Assumptions!$J112)</f>
        <v>0</v>
      </c>
      <c r="AB52" s="123">
        <f>+' HR Breakdown'!Z47*(1-Assumptions!$J112)</f>
        <v>0</v>
      </c>
      <c r="AC52" s="121">
        <f>+' HR Breakdown'!AA47*(1-Assumptions!$J112)</f>
        <v>2294.956790123457</v>
      </c>
      <c r="AD52" s="122">
        <f>+' HR Breakdown'!AB47*(1-Assumptions!$J112)</f>
        <v>2294.956790123457</v>
      </c>
      <c r="AE52" s="122">
        <f>+' HR Breakdown'!AC47*(1-Assumptions!$J112)</f>
        <v>2294.956790123457</v>
      </c>
      <c r="AF52" s="122">
        <f>+' HR Breakdown'!AD47*(1-Assumptions!$J112)</f>
        <v>2294.956790123457</v>
      </c>
      <c r="AG52" s="122">
        <f>+' HR Breakdown'!AE47*(1-Assumptions!$J112)</f>
        <v>2294.956790123457</v>
      </c>
      <c r="AH52" s="122">
        <f>+' HR Breakdown'!AF47*(1-Assumptions!$J112)</f>
        <v>2294.956790123457</v>
      </c>
      <c r="AI52" s="122">
        <f>+' HR Breakdown'!AG47*(1-Assumptions!$J112)</f>
        <v>2294.956790123457</v>
      </c>
      <c r="AJ52" s="122">
        <f>+' HR Breakdown'!AH47*(1-Assumptions!$J112)</f>
        <v>2294.956790123457</v>
      </c>
      <c r="AK52" s="122">
        <f>+' HR Breakdown'!AI47*(1-Assumptions!$J112)</f>
        <v>2294.956790123457</v>
      </c>
      <c r="AL52" s="122">
        <f>+' HR Breakdown'!AJ47*(1-Assumptions!$J112)</f>
        <v>2294.956790123457</v>
      </c>
      <c r="AM52" s="122">
        <f>+' HR Breakdown'!AK47*(1-Assumptions!$J112)</f>
        <v>2294.956790123457</v>
      </c>
      <c r="AN52" s="123">
        <f>+' HR Breakdown'!AL47*(1-Assumptions!$J112)</f>
        <v>2294.956790123457</v>
      </c>
      <c r="AO52" s="121">
        <f>+' HR Breakdown'!AM47*(1-Assumptions!$J112)</f>
        <v>2294.956790123457</v>
      </c>
      <c r="AP52" s="122">
        <f>+' HR Breakdown'!AN47*(1-Assumptions!$J112)</f>
        <v>2294.956790123457</v>
      </c>
      <c r="AQ52" s="122">
        <f>+' HR Breakdown'!AO47*(1-Assumptions!$J112)</f>
        <v>2294.956790123457</v>
      </c>
      <c r="AR52" s="122">
        <f>+' HR Breakdown'!AP47*(1-Assumptions!$J112)</f>
        <v>2294.956790123457</v>
      </c>
      <c r="AS52" s="122">
        <f>+' HR Breakdown'!AQ47*(1-Assumptions!$J112)</f>
        <v>2294.956790123457</v>
      </c>
      <c r="AT52" s="122">
        <f>+' HR Breakdown'!AR47*(1-Assumptions!$J112)</f>
        <v>2294.956790123457</v>
      </c>
      <c r="AU52" s="122">
        <f>+' HR Breakdown'!AS47*(1-Assumptions!$J112)</f>
        <v>2294.956790123457</v>
      </c>
      <c r="AV52" s="122">
        <f>+' HR Breakdown'!AT47*(1-Assumptions!$J112)</f>
        <v>2294.956790123457</v>
      </c>
      <c r="AW52" s="122">
        <f>+' HR Breakdown'!AU47*(1-Assumptions!$J112)</f>
        <v>2294.956790123457</v>
      </c>
      <c r="AX52" s="122">
        <f>+' HR Breakdown'!AV47*(1-Assumptions!$J112)</f>
        <v>2294.956790123457</v>
      </c>
      <c r="AY52" s="122">
        <f>+' HR Breakdown'!AW47*(1-Assumptions!$J112)</f>
        <v>2294.956790123457</v>
      </c>
      <c r="AZ52" s="123">
        <f>+' HR Breakdown'!AX47*(1-Assumptions!$J112)</f>
        <v>2294.956790123457</v>
      </c>
      <c r="BA52" s="121">
        <f>+' HR Breakdown'!AY47*(1-Assumptions!$J112)</f>
        <v>4589.913580246914</v>
      </c>
      <c r="BB52" s="122">
        <f>+' HR Breakdown'!AZ47*(1-Assumptions!$J112)</f>
        <v>4589.913580246914</v>
      </c>
      <c r="BC52" s="122">
        <f>+' HR Breakdown'!BA47*(1-Assumptions!$J112)</f>
        <v>4589.913580246914</v>
      </c>
      <c r="BD52" s="122">
        <f>+' HR Breakdown'!BB47*(1-Assumptions!$J112)</f>
        <v>4589.913580246914</v>
      </c>
      <c r="BE52" s="122">
        <f>+' HR Breakdown'!BC47*(1-Assumptions!$J112)</f>
        <v>4589.913580246914</v>
      </c>
      <c r="BF52" s="122">
        <f>+' HR Breakdown'!BD47*(1-Assumptions!$J112)</f>
        <v>4589.913580246914</v>
      </c>
      <c r="BG52" s="122">
        <f>+' HR Breakdown'!BE47*(1-Assumptions!$J112)</f>
        <v>4589.913580246914</v>
      </c>
      <c r="BH52" s="122">
        <f>+' HR Breakdown'!BF47*(1-Assumptions!$J112)</f>
        <v>4589.913580246914</v>
      </c>
      <c r="BI52" s="122">
        <f>+' HR Breakdown'!BG47*(1-Assumptions!$J112)</f>
        <v>4589.913580246914</v>
      </c>
      <c r="BJ52" s="122">
        <f>+' HR Breakdown'!BH47*(1-Assumptions!$J112)</f>
        <v>4589.913580246914</v>
      </c>
      <c r="BK52" s="122">
        <f>+' HR Breakdown'!BI47*(1-Assumptions!$J112)</f>
        <v>4589.913580246914</v>
      </c>
      <c r="BL52" s="123">
        <f>+' HR Breakdown'!BJ47*(1-Assumptions!$J112)</f>
        <v>4589.913580246914</v>
      </c>
    </row>
    <row r="53" spans="2:64" s="341" customFormat="1" ht="25.95" customHeight="1" outlineLevel="3">
      <c r="B53" s="346" t="str">
        <f>+Assumptions!B113</f>
        <v>Junior Developer</v>
      </c>
      <c r="C53" s="348"/>
      <c r="D53" s="1020">
        <f>+Assumptions!C113</f>
        <v>0</v>
      </c>
      <c r="E53" s="122">
        <f>+' HR Breakdown'!C48*(1-Assumptions!$J113)</f>
        <v>0</v>
      </c>
      <c r="F53" s="122">
        <f>+' HR Breakdown'!D48*(1-Assumptions!$J113)</f>
        <v>0</v>
      </c>
      <c r="G53" s="122">
        <f>+' HR Breakdown'!E48*(1-Assumptions!$J113)</f>
        <v>0</v>
      </c>
      <c r="H53" s="122">
        <f>+' HR Breakdown'!F48*(1-Assumptions!$J113)</f>
        <v>0</v>
      </c>
      <c r="I53" s="122">
        <f>+' HR Breakdown'!G48*(1-Assumptions!$J113)</f>
        <v>0</v>
      </c>
      <c r="J53" s="122">
        <f>+' HR Breakdown'!H48*(1-Assumptions!$J113)</f>
        <v>0</v>
      </c>
      <c r="K53" s="122">
        <f>+' HR Breakdown'!I48*(1-Assumptions!$J113)</f>
        <v>0</v>
      </c>
      <c r="L53" s="122">
        <f>+' HR Breakdown'!J48*(1-Assumptions!$J113)</f>
        <v>0</v>
      </c>
      <c r="M53" s="122">
        <f>+' HR Breakdown'!K48*(1-Assumptions!$J113)</f>
        <v>0</v>
      </c>
      <c r="N53" s="122">
        <f>+' HR Breakdown'!L48*(1-Assumptions!$J113)</f>
        <v>0</v>
      </c>
      <c r="O53" s="122">
        <f>+' HR Breakdown'!M48*(1-Assumptions!$J113)</f>
        <v>0</v>
      </c>
      <c r="P53" s="123">
        <f>+' HR Breakdown'!N48*(1-Assumptions!$J113)</f>
        <v>0</v>
      </c>
      <c r="Q53" s="121">
        <f>+' HR Breakdown'!O48*(1-Assumptions!$J113)</f>
        <v>0</v>
      </c>
      <c r="R53" s="122">
        <f>+' HR Breakdown'!P48*(1-Assumptions!$J113)</f>
        <v>0</v>
      </c>
      <c r="S53" s="122">
        <f>+' HR Breakdown'!Q48*(1-Assumptions!$J113)</f>
        <v>0</v>
      </c>
      <c r="T53" s="122">
        <f>+' HR Breakdown'!R48*(1-Assumptions!$J113)</f>
        <v>0</v>
      </c>
      <c r="U53" s="122">
        <f>+' HR Breakdown'!S48*(1-Assumptions!$J113)</f>
        <v>0</v>
      </c>
      <c r="V53" s="122">
        <f>+' HR Breakdown'!T48*(1-Assumptions!$J113)</f>
        <v>0</v>
      </c>
      <c r="W53" s="122">
        <f>+' HR Breakdown'!U48*(1-Assumptions!$J113)</f>
        <v>0</v>
      </c>
      <c r="X53" s="122">
        <f>+' HR Breakdown'!V48*(1-Assumptions!$J113)</f>
        <v>0</v>
      </c>
      <c r="Y53" s="122">
        <f>+' HR Breakdown'!W48*(1-Assumptions!$J113)</f>
        <v>0</v>
      </c>
      <c r="Z53" s="122">
        <f>+' HR Breakdown'!X48*(1-Assumptions!$J113)</f>
        <v>0</v>
      </c>
      <c r="AA53" s="122">
        <f>+' HR Breakdown'!Y48*(1-Assumptions!$J113)</f>
        <v>0</v>
      </c>
      <c r="AB53" s="123">
        <f>+' HR Breakdown'!Z48*(1-Assumptions!$J113)</f>
        <v>0</v>
      </c>
      <c r="AC53" s="121">
        <f>+' HR Breakdown'!AA48*(1-Assumptions!$J113)</f>
        <v>0</v>
      </c>
      <c r="AD53" s="122">
        <f>+' HR Breakdown'!AB48*(1-Assumptions!$J113)</f>
        <v>0</v>
      </c>
      <c r="AE53" s="122">
        <f>+' HR Breakdown'!AC48*(1-Assumptions!$J113)</f>
        <v>0</v>
      </c>
      <c r="AF53" s="122">
        <f>+' HR Breakdown'!AD48*(1-Assumptions!$J113)</f>
        <v>0</v>
      </c>
      <c r="AG53" s="122">
        <f>+' HR Breakdown'!AE48*(1-Assumptions!$J113)</f>
        <v>0</v>
      </c>
      <c r="AH53" s="122">
        <f>+' HR Breakdown'!AF48*(1-Assumptions!$J113)</f>
        <v>0</v>
      </c>
      <c r="AI53" s="122">
        <f>+' HR Breakdown'!AG48*(1-Assumptions!$J113)</f>
        <v>0</v>
      </c>
      <c r="AJ53" s="122">
        <f>+' HR Breakdown'!AH48*(1-Assumptions!$J113)</f>
        <v>0</v>
      </c>
      <c r="AK53" s="122">
        <f>+' HR Breakdown'!AI48*(1-Assumptions!$J113)</f>
        <v>0</v>
      </c>
      <c r="AL53" s="122">
        <f>+' HR Breakdown'!AJ48*(1-Assumptions!$J113)</f>
        <v>0</v>
      </c>
      <c r="AM53" s="122">
        <f>+' HR Breakdown'!AK48*(1-Assumptions!$J113)</f>
        <v>0</v>
      </c>
      <c r="AN53" s="123">
        <f>+' HR Breakdown'!AL48*(1-Assumptions!$J113)</f>
        <v>0</v>
      </c>
      <c r="AO53" s="121">
        <f>+' HR Breakdown'!AM48*(1-Assumptions!$J113)</f>
        <v>0</v>
      </c>
      <c r="AP53" s="122">
        <f>+' HR Breakdown'!AN48*(1-Assumptions!$J113)</f>
        <v>0</v>
      </c>
      <c r="AQ53" s="122">
        <f>+' HR Breakdown'!AO48*(1-Assumptions!$J113)</f>
        <v>0</v>
      </c>
      <c r="AR53" s="122">
        <f>+' HR Breakdown'!AP48*(1-Assumptions!$J113)</f>
        <v>0</v>
      </c>
      <c r="AS53" s="122">
        <f>+' HR Breakdown'!AQ48*(1-Assumptions!$J113)</f>
        <v>0</v>
      </c>
      <c r="AT53" s="122">
        <f>+' HR Breakdown'!AR48*(1-Assumptions!$J113)</f>
        <v>0</v>
      </c>
      <c r="AU53" s="122">
        <f>+' HR Breakdown'!AS48*(1-Assumptions!$J113)</f>
        <v>0</v>
      </c>
      <c r="AV53" s="122">
        <f>+' HR Breakdown'!AT48*(1-Assumptions!$J113)</f>
        <v>0</v>
      </c>
      <c r="AW53" s="122">
        <f>+' HR Breakdown'!AU48*(1-Assumptions!$J113)</f>
        <v>0</v>
      </c>
      <c r="AX53" s="122">
        <f>+' HR Breakdown'!AV48*(1-Assumptions!$J113)</f>
        <v>0</v>
      </c>
      <c r="AY53" s="122">
        <f>+' HR Breakdown'!AW48*(1-Assumptions!$J113)</f>
        <v>0</v>
      </c>
      <c r="AZ53" s="123">
        <f>+' HR Breakdown'!AX48*(1-Assumptions!$J113)</f>
        <v>0</v>
      </c>
      <c r="BA53" s="121">
        <f>+' HR Breakdown'!AY48*(1-Assumptions!$J113)</f>
        <v>0</v>
      </c>
      <c r="BB53" s="122">
        <f>+' HR Breakdown'!AZ48*(1-Assumptions!$J113)</f>
        <v>0</v>
      </c>
      <c r="BC53" s="122">
        <f>+' HR Breakdown'!BA48*(1-Assumptions!$J113)</f>
        <v>0</v>
      </c>
      <c r="BD53" s="122">
        <f>+' HR Breakdown'!BB48*(1-Assumptions!$J113)</f>
        <v>0</v>
      </c>
      <c r="BE53" s="122">
        <f>+' HR Breakdown'!BC48*(1-Assumptions!$J113)</f>
        <v>0</v>
      </c>
      <c r="BF53" s="122">
        <f>+' HR Breakdown'!BD48*(1-Assumptions!$J113)</f>
        <v>0</v>
      </c>
      <c r="BG53" s="122">
        <f>+' HR Breakdown'!BE48*(1-Assumptions!$J113)</f>
        <v>0</v>
      </c>
      <c r="BH53" s="122">
        <f>+' HR Breakdown'!BF48*(1-Assumptions!$J113)</f>
        <v>0</v>
      </c>
      <c r="BI53" s="122">
        <f>+' HR Breakdown'!BG48*(1-Assumptions!$J113)</f>
        <v>0</v>
      </c>
      <c r="BJ53" s="122">
        <f>+' HR Breakdown'!BH48*(1-Assumptions!$J113)</f>
        <v>0</v>
      </c>
      <c r="BK53" s="122">
        <f>+' HR Breakdown'!BI48*(1-Assumptions!$J113)</f>
        <v>0</v>
      </c>
      <c r="BL53" s="123">
        <f>+' HR Breakdown'!BJ48*(1-Assumptions!$J113)</f>
        <v>0</v>
      </c>
    </row>
    <row r="54" spans="2:64" s="341" customFormat="1" ht="25.95" customHeight="1" hidden="1" outlineLevel="3">
      <c r="B54" s="346">
        <f>+Assumptions!B114</f>
        <v>0</v>
      </c>
      <c r="C54" s="348"/>
      <c r="D54" s="1020">
        <f>+Assumptions!C114</f>
        <v>0</v>
      </c>
      <c r="E54" s="122">
        <f>+' HR Breakdown'!C49*(1-Assumptions!$J114)</f>
        <v>0</v>
      </c>
      <c r="F54" s="122">
        <f>+' HR Breakdown'!D49*(1-Assumptions!$J114)</f>
        <v>0</v>
      </c>
      <c r="G54" s="122">
        <f>+' HR Breakdown'!E49*(1-Assumptions!$J114)</f>
        <v>0</v>
      </c>
      <c r="H54" s="122">
        <f>+' HR Breakdown'!F49*(1-Assumptions!$J114)</f>
        <v>0</v>
      </c>
      <c r="I54" s="122">
        <f>+' HR Breakdown'!G49*(1-Assumptions!$J114)</f>
        <v>0</v>
      </c>
      <c r="J54" s="122">
        <f>+' HR Breakdown'!H49*(1-Assumptions!$J114)</f>
        <v>0</v>
      </c>
      <c r="K54" s="122">
        <f>+' HR Breakdown'!I49*(1-Assumptions!$J114)</f>
        <v>0</v>
      </c>
      <c r="L54" s="122">
        <f>+' HR Breakdown'!J49*(1-Assumptions!$J114)</f>
        <v>0</v>
      </c>
      <c r="M54" s="122">
        <f>+' HR Breakdown'!K49*(1-Assumptions!$J114)</f>
        <v>0</v>
      </c>
      <c r="N54" s="122">
        <f>+' HR Breakdown'!L49*(1-Assumptions!$J114)</f>
        <v>0</v>
      </c>
      <c r="O54" s="122">
        <f>+' HR Breakdown'!M49*(1-Assumptions!$J114)</f>
        <v>0</v>
      </c>
      <c r="P54" s="123">
        <f>+' HR Breakdown'!N49*(1-Assumptions!$J114)</f>
        <v>0</v>
      </c>
      <c r="Q54" s="121">
        <f>+' HR Breakdown'!O49*(1-Assumptions!$J114)</f>
        <v>0</v>
      </c>
      <c r="R54" s="122">
        <f>+' HR Breakdown'!P49*(1-Assumptions!$J114)</f>
        <v>0</v>
      </c>
      <c r="S54" s="122">
        <f>+' HR Breakdown'!Q49*(1-Assumptions!$J114)</f>
        <v>0</v>
      </c>
      <c r="T54" s="122">
        <f>+' HR Breakdown'!R49*(1-Assumptions!$J114)</f>
        <v>0</v>
      </c>
      <c r="U54" s="122">
        <f>+' HR Breakdown'!S49*(1-Assumptions!$J114)</f>
        <v>0</v>
      </c>
      <c r="V54" s="122">
        <f>+' HR Breakdown'!T49*(1-Assumptions!$J114)</f>
        <v>0</v>
      </c>
      <c r="W54" s="122">
        <f>+' HR Breakdown'!U49*(1-Assumptions!$J114)</f>
        <v>0</v>
      </c>
      <c r="X54" s="122">
        <f>+' HR Breakdown'!V49*(1-Assumptions!$J114)</f>
        <v>0</v>
      </c>
      <c r="Y54" s="122">
        <f>+' HR Breakdown'!W49*(1-Assumptions!$J114)</f>
        <v>0</v>
      </c>
      <c r="Z54" s="122">
        <f>+' HR Breakdown'!X49*(1-Assumptions!$J114)</f>
        <v>0</v>
      </c>
      <c r="AA54" s="122">
        <f>+' HR Breakdown'!Y49*(1-Assumptions!$J114)</f>
        <v>0</v>
      </c>
      <c r="AB54" s="123">
        <f>+' HR Breakdown'!Z49*(1-Assumptions!$J114)</f>
        <v>0</v>
      </c>
      <c r="AC54" s="121">
        <f>+' HR Breakdown'!AA49*(1-Assumptions!$J114)</f>
        <v>0</v>
      </c>
      <c r="AD54" s="122">
        <f>+' HR Breakdown'!AB49*(1-Assumptions!$J114)</f>
        <v>0</v>
      </c>
      <c r="AE54" s="122">
        <f>+' HR Breakdown'!AC49*(1-Assumptions!$J114)</f>
        <v>0</v>
      </c>
      <c r="AF54" s="122">
        <f>+' HR Breakdown'!AD49*(1-Assumptions!$J114)</f>
        <v>0</v>
      </c>
      <c r="AG54" s="122">
        <f>+' HR Breakdown'!AE49*(1-Assumptions!$J114)</f>
        <v>0</v>
      </c>
      <c r="AH54" s="122">
        <f>+' HR Breakdown'!AF49*(1-Assumptions!$J114)</f>
        <v>0</v>
      </c>
      <c r="AI54" s="122">
        <f>+' HR Breakdown'!AG49*(1-Assumptions!$J114)</f>
        <v>0</v>
      </c>
      <c r="AJ54" s="122">
        <f>+' HR Breakdown'!AH49*(1-Assumptions!$J114)</f>
        <v>0</v>
      </c>
      <c r="AK54" s="122">
        <f>+' HR Breakdown'!AI49*(1-Assumptions!$J114)</f>
        <v>0</v>
      </c>
      <c r="AL54" s="122">
        <f>+' HR Breakdown'!AJ49*(1-Assumptions!$J114)</f>
        <v>0</v>
      </c>
      <c r="AM54" s="122">
        <f>+' HR Breakdown'!AK49*(1-Assumptions!$J114)</f>
        <v>0</v>
      </c>
      <c r="AN54" s="123">
        <f>+' HR Breakdown'!AL49*(1-Assumptions!$J114)</f>
        <v>0</v>
      </c>
      <c r="AO54" s="121">
        <f>+' HR Breakdown'!AM49*(1-Assumptions!$J114)</f>
        <v>0</v>
      </c>
      <c r="AP54" s="122">
        <f>+' HR Breakdown'!AN49*(1-Assumptions!$J114)</f>
        <v>0</v>
      </c>
      <c r="AQ54" s="122">
        <f>+' HR Breakdown'!AO49*(1-Assumptions!$J114)</f>
        <v>0</v>
      </c>
      <c r="AR54" s="122">
        <f>+' HR Breakdown'!AP49*(1-Assumptions!$J114)</f>
        <v>0</v>
      </c>
      <c r="AS54" s="122">
        <f>+' HR Breakdown'!AQ49*(1-Assumptions!$J114)</f>
        <v>0</v>
      </c>
      <c r="AT54" s="122">
        <f>+' HR Breakdown'!AR49*(1-Assumptions!$J114)</f>
        <v>0</v>
      </c>
      <c r="AU54" s="122">
        <f>+' HR Breakdown'!AS49*(1-Assumptions!$J114)</f>
        <v>0</v>
      </c>
      <c r="AV54" s="122">
        <f>+' HR Breakdown'!AT49*(1-Assumptions!$J114)</f>
        <v>0</v>
      </c>
      <c r="AW54" s="122">
        <f>+' HR Breakdown'!AU49*(1-Assumptions!$J114)</f>
        <v>0</v>
      </c>
      <c r="AX54" s="122">
        <f>+' HR Breakdown'!AV49*(1-Assumptions!$J114)</f>
        <v>0</v>
      </c>
      <c r="AY54" s="122">
        <f>+' HR Breakdown'!AW49*(1-Assumptions!$J114)</f>
        <v>0</v>
      </c>
      <c r="AZ54" s="123">
        <f>+' HR Breakdown'!AX49*(1-Assumptions!$J114)</f>
        <v>0</v>
      </c>
      <c r="BA54" s="121">
        <f>+' HR Breakdown'!AY49*(1-Assumptions!$J114)</f>
        <v>0</v>
      </c>
      <c r="BB54" s="122">
        <f>+' HR Breakdown'!AZ49*(1-Assumptions!$J114)</f>
        <v>0</v>
      </c>
      <c r="BC54" s="122">
        <f>+' HR Breakdown'!BA49*(1-Assumptions!$J114)</f>
        <v>0</v>
      </c>
      <c r="BD54" s="122">
        <f>+' HR Breakdown'!BB49*(1-Assumptions!$J114)</f>
        <v>0</v>
      </c>
      <c r="BE54" s="122">
        <f>+' HR Breakdown'!BC49*(1-Assumptions!$J114)</f>
        <v>0</v>
      </c>
      <c r="BF54" s="122">
        <f>+' HR Breakdown'!BD49*(1-Assumptions!$J114)</f>
        <v>0</v>
      </c>
      <c r="BG54" s="122">
        <f>+' HR Breakdown'!BE49*(1-Assumptions!$J114)</f>
        <v>0</v>
      </c>
      <c r="BH54" s="122">
        <f>+' HR Breakdown'!BF49*(1-Assumptions!$J114)</f>
        <v>0</v>
      </c>
      <c r="BI54" s="122">
        <f>+' HR Breakdown'!BG49*(1-Assumptions!$J114)</f>
        <v>0</v>
      </c>
      <c r="BJ54" s="122">
        <f>+' HR Breakdown'!BH49*(1-Assumptions!$J114)</f>
        <v>0</v>
      </c>
      <c r="BK54" s="122">
        <f>+' HR Breakdown'!BI49*(1-Assumptions!$J114)</f>
        <v>0</v>
      </c>
      <c r="BL54" s="123">
        <f>+' HR Breakdown'!BJ49*(1-Assumptions!$J114)</f>
        <v>0</v>
      </c>
    </row>
    <row r="55" spans="2:64" s="341" customFormat="1" ht="25.95" customHeight="1" hidden="1" outlineLevel="3">
      <c r="B55" s="346">
        <f>+Assumptions!B115</f>
        <v>0</v>
      </c>
      <c r="C55" s="349"/>
      <c r="D55" s="1020">
        <f>+Assumptions!C115</f>
        <v>0</v>
      </c>
      <c r="E55" s="122">
        <f>+' HR Breakdown'!C50*(1-Assumptions!$J115)</f>
        <v>0</v>
      </c>
      <c r="F55" s="122">
        <f>+' HR Breakdown'!D50*(1-Assumptions!$J115)</f>
        <v>0</v>
      </c>
      <c r="G55" s="122">
        <f>+' HR Breakdown'!E50*(1-Assumptions!$J115)</f>
        <v>0</v>
      </c>
      <c r="H55" s="122">
        <f>+' HR Breakdown'!F50*(1-Assumptions!$J115)</f>
        <v>0</v>
      </c>
      <c r="I55" s="122">
        <f>+' HR Breakdown'!G50*(1-Assumptions!$J115)</f>
        <v>0</v>
      </c>
      <c r="J55" s="122">
        <f>+' HR Breakdown'!H50*(1-Assumptions!$J115)</f>
        <v>0</v>
      </c>
      <c r="K55" s="122">
        <f>+' HR Breakdown'!I50*(1-Assumptions!$J115)</f>
        <v>0</v>
      </c>
      <c r="L55" s="122">
        <f>+' HR Breakdown'!J50*(1-Assumptions!$J115)</f>
        <v>0</v>
      </c>
      <c r="M55" s="122">
        <f>+' HR Breakdown'!K50*(1-Assumptions!$J115)</f>
        <v>0</v>
      </c>
      <c r="N55" s="122">
        <f>+' HR Breakdown'!L50*(1-Assumptions!$J115)</f>
        <v>0</v>
      </c>
      <c r="O55" s="122">
        <f>+' HR Breakdown'!M50*(1-Assumptions!$J115)</f>
        <v>0</v>
      </c>
      <c r="P55" s="123">
        <f>+' HR Breakdown'!N50*(1-Assumptions!$J115)</f>
        <v>0</v>
      </c>
      <c r="Q55" s="121">
        <f>+' HR Breakdown'!O50*(1-Assumptions!$J115)</f>
        <v>0</v>
      </c>
      <c r="R55" s="122">
        <f>+' HR Breakdown'!P50*(1-Assumptions!$J115)</f>
        <v>0</v>
      </c>
      <c r="S55" s="122">
        <f>+' HR Breakdown'!Q50*(1-Assumptions!$J115)</f>
        <v>0</v>
      </c>
      <c r="T55" s="122">
        <f>+' HR Breakdown'!R50*(1-Assumptions!$J115)</f>
        <v>0</v>
      </c>
      <c r="U55" s="122">
        <f>+' HR Breakdown'!S50*(1-Assumptions!$J115)</f>
        <v>0</v>
      </c>
      <c r="V55" s="122">
        <f>+' HR Breakdown'!T50*(1-Assumptions!$J115)</f>
        <v>0</v>
      </c>
      <c r="W55" s="122">
        <f>+' HR Breakdown'!U50*(1-Assumptions!$J115)</f>
        <v>0</v>
      </c>
      <c r="X55" s="122">
        <f>+' HR Breakdown'!V50*(1-Assumptions!$J115)</f>
        <v>0</v>
      </c>
      <c r="Y55" s="122">
        <f>+' HR Breakdown'!W50*(1-Assumptions!$J115)</f>
        <v>0</v>
      </c>
      <c r="Z55" s="122">
        <f>+' HR Breakdown'!X50*(1-Assumptions!$J115)</f>
        <v>0</v>
      </c>
      <c r="AA55" s="122">
        <f>+' HR Breakdown'!Y50*(1-Assumptions!$J115)</f>
        <v>0</v>
      </c>
      <c r="AB55" s="123">
        <f>+' HR Breakdown'!Z50*(1-Assumptions!$J115)</f>
        <v>0</v>
      </c>
      <c r="AC55" s="121">
        <f>+' HR Breakdown'!AA50*(1-Assumptions!$J115)</f>
        <v>0</v>
      </c>
      <c r="AD55" s="122">
        <f>+' HR Breakdown'!AB50*(1-Assumptions!$J115)</f>
        <v>0</v>
      </c>
      <c r="AE55" s="122">
        <f>+' HR Breakdown'!AC50*(1-Assumptions!$J115)</f>
        <v>0</v>
      </c>
      <c r="AF55" s="122">
        <f>+' HR Breakdown'!AD50*(1-Assumptions!$J115)</f>
        <v>0</v>
      </c>
      <c r="AG55" s="122">
        <f>+' HR Breakdown'!AE50*(1-Assumptions!$J115)</f>
        <v>0</v>
      </c>
      <c r="AH55" s="122">
        <f>+' HR Breakdown'!AF50*(1-Assumptions!$J115)</f>
        <v>0</v>
      </c>
      <c r="AI55" s="122">
        <f>+' HR Breakdown'!AG50*(1-Assumptions!$J115)</f>
        <v>0</v>
      </c>
      <c r="AJ55" s="122">
        <f>+' HR Breakdown'!AH50*(1-Assumptions!$J115)</f>
        <v>0</v>
      </c>
      <c r="AK55" s="122">
        <f>+' HR Breakdown'!AI50*(1-Assumptions!$J115)</f>
        <v>0</v>
      </c>
      <c r="AL55" s="122">
        <f>+' HR Breakdown'!AJ50*(1-Assumptions!$J115)</f>
        <v>0</v>
      </c>
      <c r="AM55" s="122">
        <f>+' HR Breakdown'!AK50*(1-Assumptions!$J115)</f>
        <v>0</v>
      </c>
      <c r="AN55" s="123">
        <f>+' HR Breakdown'!AL50*(1-Assumptions!$J115)</f>
        <v>0</v>
      </c>
      <c r="AO55" s="121">
        <f>+' HR Breakdown'!AM50*(1-Assumptions!$J115)</f>
        <v>0</v>
      </c>
      <c r="AP55" s="122">
        <f>+' HR Breakdown'!AN50*(1-Assumptions!$J115)</f>
        <v>0</v>
      </c>
      <c r="AQ55" s="122">
        <f>+' HR Breakdown'!AO50*(1-Assumptions!$J115)</f>
        <v>0</v>
      </c>
      <c r="AR55" s="122">
        <f>+' HR Breakdown'!AP50*(1-Assumptions!$J115)</f>
        <v>0</v>
      </c>
      <c r="AS55" s="122">
        <f>+' HR Breakdown'!AQ50*(1-Assumptions!$J115)</f>
        <v>0</v>
      </c>
      <c r="AT55" s="122">
        <f>+' HR Breakdown'!AR50*(1-Assumptions!$J115)</f>
        <v>0</v>
      </c>
      <c r="AU55" s="122">
        <f>+' HR Breakdown'!AS50*(1-Assumptions!$J115)</f>
        <v>0</v>
      </c>
      <c r="AV55" s="122">
        <f>+' HR Breakdown'!AT50*(1-Assumptions!$J115)</f>
        <v>0</v>
      </c>
      <c r="AW55" s="122">
        <f>+' HR Breakdown'!AU50*(1-Assumptions!$J115)</f>
        <v>0</v>
      </c>
      <c r="AX55" s="122">
        <f>+' HR Breakdown'!AV50*(1-Assumptions!$J115)</f>
        <v>0</v>
      </c>
      <c r="AY55" s="122">
        <f>+' HR Breakdown'!AW50*(1-Assumptions!$J115)</f>
        <v>0</v>
      </c>
      <c r="AZ55" s="123">
        <f>+' HR Breakdown'!AX50*(1-Assumptions!$J115)</f>
        <v>0</v>
      </c>
      <c r="BA55" s="121">
        <f>+' HR Breakdown'!AY50*(1-Assumptions!$J115)</f>
        <v>0</v>
      </c>
      <c r="BB55" s="122">
        <f>+' HR Breakdown'!AZ50*(1-Assumptions!$J115)</f>
        <v>0</v>
      </c>
      <c r="BC55" s="122">
        <f>+' HR Breakdown'!BA50*(1-Assumptions!$J115)</f>
        <v>0</v>
      </c>
      <c r="BD55" s="122">
        <f>+' HR Breakdown'!BB50*(1-Assumptions!$J115)</f>
        <v>0</v>
      </c>
      <c r="BE55" s="122">
        <f>+' HR Breakdown'!BC50*(1-Assumptions!$J115)</f>
        <v>0</v>
      </c>
      <c r="BF55" s="122">
        <f>+' HR Breakdown'!BD50*(1-Assumptions!$J115)</f>
        <v>0</v>
      </c>
      <c r="BG55" s="122">
        <f>+' HR Breakdown'!BE50*(1-Assumptions!$J115)</f>
        <v>0</v>
      </c>
      <c r="BH55" s="122">
        <f>+' HR Breakdown'!BF50*(1-Assumptions!$J115)</f>
        <v>0</v>
      </c>
      <c r="BI55" s="122">
        <f>+' HR Breakdown'!BG50*(1-Assumptions!$J115)</f>
        <v>0</v>
      </c>
      <c r="BJ55" s="122">
        <f>+' HR Breakdown'!BH50*(1-Assumptions!$J115)</f>
        <v>0</v>
      </c>
      <c r="BK55" s="122">
        <f>+' HR Breakdown'!BI50*(1-Assumptions!$J115)</f>
        <v>0</v>
      </c>
      <c r="BL55" s="123">
        <f>+' HR Breakdown'!BJ50*(1-Assumptions!$J115)</f>
        <v>0</v>
      </c>
    </row>
    <row r="56" spans="2:64" s="341" customFormat="1" ht="25.95" customHeight="1" hidden="1" outlineLevel="3">
      <c r="B56" s="346">
        <f>+Assumptions!B116</f>
        <v>0</v>
      </c>
      <c r="C56" s="348"/>
      <c r="D56" s="1020">
        <f>+Assumptions!C116</f>
        <v>0</v>
      </c>
      <c r="E56" s="122">
        <f>+' HR Breakdown'!C51*(1-Assumptions!$J116)</f>
        <v>0</v>
      </c>
      <c r="F56" s="122">
        <f>+' HR Breakdown'!D51*(1-Assumptions!$J116)</f>
        <v>0</v>
      </c>
      <c r="G56" s="122">
        <f>+' HR Breakdown'!E51*(1-Assumptions!$J116)</f>
        <v>0</v>
      </c>
      <c r="H56" s="122">
        <f>+' HR Breakdown'!F51*(1-Assumptions!$J116)</f>
        <v>0</v>
      </c>
      <c r="I56" s="122">
        <f>+' HR Breakdown'!G51*(1-Assumptions!$J116)</f>
        <v>0</v>
      </c>
      <c r="J56" s="122">
        <f>+' HR Breakdown'!H51*(1-Assumptions!$J116)</f>
        <v>0</v>
      </c>
      <c r="K56" s="122">
        <f>+' HR Breakdown'!I51*(1-Assumptions!$J116)</f>
        <v>0</v>
      </c>
      <c r="L56" s="122">
        <f>+' HR Breakdown'!J51*(1-Assumptions!$J116)</f>
        <v>0</v>
      </c>
      <c r="M56" s="122">
        <f>+' HR Breakdown'!K51*(1-Assumptions!$J116)</f>
        <v>0</v>
      </c>
      <c r="N56" s="122">
        <f>+' HR Breakdown'!L51*(1-Assumptions!$J116)</f>
        <v>0</v>
      </c>
      <c r="O56" s="122">
        <f>+' HR Breakdown'!M51*(1-Assumptions!$J116)</f>
        <v>0</v>
      </c>
      <c r="P56" s="123">
        <f>+' HR Breakdown'!N51*(1-Assumptions!$J116)</f>
        <v>0</v>
      </c>
      <c r="Q56" s="121">
        <f>+' HR Breakdown'!O51*(1-Assumptions!$J116)</f>
        <v>0</v>
      </c>
      <c r="R56" s="122">
        <f>+' HR Breakdown'!P51*(1-Assumptions!$J116)</f>
        <v>0</v>
      </c>
      <c r="S56" s="122">
        <f>+' HR Breakdown'!Q51*(1-Assumptions!$J116)</f>
        <v>0</v>
      </c>
      <c r="T56" s="122">
        <f>+' HR Breakdown'!R51*(1-Assumptions!$J116)</f>
        <v>0</v>
      </c>
      <c r="U56" s="122">
        <f>+' HR Breakdown'!S51*(1-Assumptions!$J116)</f>
        <v>0</v>
      </c>
      <c r="V56" s="122">
        <f>+' HR Breakdown'!T51*(1-Assumptions!$J116)</f>
        <v>0</v>
      </c>
      <c r="W56" s="122">
        <f>+' HR Breakdown'!U51*(1-Assumptions!$J116)</f>
        <v>0</v>
      </c>
      <c r="X56" s="122">
        <f>+' HR Breakdown'!V51*(1-Assumptions!$J116)</f>
        <v>0</v>
      </c>
      <c r="Y56" s="122">
        <f>+' HR Breakdown'!W51*(1-Assumptions!$J116)</f>
        <v>0</v>
      </c>
      <c r="Z56" s="122">
        <f>+' HR Breakdown'!X51*(1-Assumptions!$J116)</f>
        <v>0</v>
      </c>
      <c r="AA56" s="122">
        <f>+' HR Breakdown'!Y51*(1-Assumptions!$J116)</f>
        <v>0</v>
      </c>
      <c r="AB56" s="123">
        <f>+' HR Breakdown'!Z51*(1-Assumptions!$J116)</f>
        <v>0</v>
      </c>
      <c r="AC56" s="121">
        <f>+' HR Breakdown'!AA51*(1-Assumptions!$J116)</f>
        <v>0</v>
      </c>
      <c r="AD56" s="122">
        <f>+' HR Breakdown'!AB51*(1-Assumptions!$J116)</f>
        <v>0</v>
      </c>
      <c r="AE56" s="122">
        <f>+' HR Breakdown'!AC51*(1-Assumptions!$J116)</f>
        <v>0</v>
      </c>
      <c r="AF56" s="122">
        <f>+' HR Breakdown'!AD51*(1-Assumptions!$J116)</f>
        <v>0</v>
      </c>
      <c r="AG56" s="122">
        <f>+' HR Breakdown'!AE51*(1-Assumptions!$J116)</f>
        <v>0</v>
      </c>
      <c r="AH56" s="122">
        <f>+' HR Breakdown'!AF51*(1-Assumptions!$J116)</f>
        <v>0</v>
      </c>
      <c r="AI56" s="122">
        <f>+' HR Breakdown'!AG51*(1-Assumptions!$J116)</f>
        <v>0</v>
      </c>
      <c r="AJ56" s="122">
        <f>+' HR Breakdown'!AH51*(1-Assumptions!$J116)</f>
        <v>0</v>
      </c>
      <c r="AK56" s="122">
        <f>+' HR Breakdown'!AI51*(1-Assumptions!$J116)</f>
        <v>0</v>
      </c>
      <c r="AL56" s="122">
        <f>+' HR Breakdown'!AJ51*(1-Assumptions!$J116)</f>
        <v>0</v>
      </c>
      <c r="AM56" s="122">
        <f>+' HR Breakdown'!AK51*(1-Assumptions!$J116)</f>
        <v>0</v>
      </c>
      <c r="AN56" s="123">
        <f>+' HR Breakdown'!AL51*(1-Assumptions!$J116)</f>
        <v>0</v>
      </c>
      <c r="AO56" s="121">
        <f>+' HR Breakdown'!AM51*(1-Assumptions!$J116)</f>
        <v>0</v>
      </c>
      <c r="AP56" s="122">
        <f>+' HR Breakdown'!AN51*(1-Assumptions!$J116)</f>
        <v>0</v>
      </c>
      <c r="AQ56" s="122">
        <f>+' HR Breakdown'!AO51*(1-Assumptions!$J116)</f>
        <v>0</v>
      </c>
      <c r="AR56" s="122">
        <f>+' HR Breakdown'!AP51*(1-Assumptions!$J116)</f>
        <v>0</v>
      </c>
      <c r="AS56" s="122">
        <f>+' HR Breakdown'!AQ51*(1-Assumptions!$J116)</f>
        <v>0</v>
      </c>
      <c r="AT56" s="122">
        <f>+' HR Breakdown'!AR51*(1-Assumptions!$J116)</f>
        <v>0</v>
      </c>
      <c r="AU56" s="122">
        <f>+' HR Breakdown'!AS51*(1-Assumptions!$J116)</f>
        <v>0</v>
      </c>
      <c r="AV56" s="122">
        <f>+' HR Breakdown'!AT51*(1-Assumptions!$J116)</f>
        <v>0</v>
      </c>
      <c r="AW56" s="122">
        <f>+' HR Breakdown'!AU51*(1-Assumptions!$J116)</f>
        <v>0</v>
      </c>
      <c r="AX56" s="122">
        <f>+' HR Breakdown'!AV51*(1-Assumptions!$J116)</f>
        <v>0</v>
      </c>
      <c r="AY56" s="122">
        <f>+' HR Breakdown'!AW51*(1-Assumptions!$J116)</f>
        <v>0</v>
      </c>
      <c r="AZ56" s="123">
        <f>+' HR Breakdown'!AX51*(1-Assumptions!$J116)</f>
        <v>0</v>
      </c>
      <c r="BA56" s="121">
        <f>+' HR Breakdown'!AY51*(1-Assumptions!$J116)</f>
        <v>0</v>
      </c>
      <c r="BB56" s="122">
        <f>+' HR Breakdown'!AZ51*(1-Assumptions!$J116)</f>
        <v>0</v>
      </c>
      <c r="BC56" s="122">
        <f>+' HR Breakdown'!BA51*(1-Assumptions!$J116)</f>
        <v>0</v>
      </c>
      <c r="BD56" s="122">
        <f>+' HR Breakdown'!BB51*(1-Assumptions!$J116)</f>
        <v>0</v>
      </c>
      <c r="BE56" s="122">
        <f>+' HR Breakdown'!BC51*(1-Assumptions!$J116)</f>
        <v>0</v>
      </c>
      <c r="BF56" s="122">
        <f>+' HR Breakdown'!BD51*(1-Assumptions!$J116)</f>
        <v>0</v>
      </c>
      <c r="BG56" s="122">
        <f>+' HR Breakdown'!BE51*(1-Assumptions!$J116)</f>
        <v>0</v>
      </c>
      <c r="BH56" s="122">
        <f>+' HR Breakdown'!BF51*(1-Assumptions!$J116)</f>
        <v>0</v>
      </c>
      <c r="BI56" s="122">
        <f>+' HR Breakdown'!BG51*(1-Assumptions!$J116)</f>
        <v>0</v>
      </c>
      <c r="BJ56" s="122">
        <f>+' HR Breakdown'!BH51*(1-Assumptions!$J116)</f>
        <v>0</v>
      </c>
      <c r="BK56" s="122">
        <f>+' HR Breakdown'!BI51*(1-Assumptions!$J116)</f>
        <v>0</v>
      </c>
      <c r="BL56" s="123">
        <f>+' HR Breakdown'!BJ51*(1-Assumptions!$J116)</f>
        <v>0</v>
      </c>
    </row>
    <row r="57" spans="2:64" s="341" customFormat="1" ht="25.95" customHeight="1" hidden="1" outlineLevel="3">
      <c r="B57" s="346">
        <f>+Assumptions!B117</f>
        <v>0</v>
      </c>
      <c r="C57" s="348"/>
      <c r="D57" s="1020">
        <f>+Assumptions!C117</f>
        <v>0</v>
      </c>
      <c r="E57" s="122">
        <f>+' HR Breakdown'!C52*(1-Assumptions!$J117)</f>
        <v>0</v>
      </c>
      <c r="F57" s="122">
        <f>+' HR Breakdown'!D52*(1-Assumptions!$J117)</f>
        <v>0</v>
      </c>
      <c r="G57" s="122">
        <f>+' HR Breakdown'!E52*(1-Assumptions!$J117)</f>
        <v>0</v>
      </c>
      <c r="H57" s="122">
        <f>+' HR Breakdown'!F52*(1-Assumptions!$J117)</f>
        <v>0</v>
      </c>
      <c r="I57" s="122">
        <f>+' HR Breakdown'!G52*(1-Assumptions!$J117)</f>
        <v>0</v>
      </c>
      <c r="J57" s="122">
        <f>+' HR Breakdown'!H52*(1-Assumptions!$J117)</f>
        <v>0</v>
      </c>
      <c r="K57" s="122">
        <f>+' HR Breakdown'!I52*(1-Assumptions!$J117)</f>
        <v>0</v>
      </c>
      <c r="L57" s="122">
        <f>+' HR Breakdown'!J52*(1-Assumptions!$J117)</f>
        <v>0</v>
      </c>
      <c r="M57" s="122">
        <f>+' HR Breakdown'!K52*(1-Assumptions!$J117)</f>
        <v>0</v>
      </c>
      <c r="N57" s="122">
        <f>+' HR Breakdown'!L52*(1-Assumptions!$J117)</f>
        <v>0</v>
      </c>
      <c r="O57" s="122">
        <f>+' HR Breakdown'!M52*(1-Assumptions!$J117)</f>
        <v>0</v>
      </c>
      <c r="P57" s="123">
        <f>+' HR Breakdown'!N52*(1-Assumptions!$J117)</f>
        <v>0</v>
      </c>
      <c r="Q57" s="121">
        <f>+' HR Breakdown'!O52*(1-Assumptions!$J117)</f>
        <v>0</v>
      </c>
      <c r="R57" s="122">
        <f>+' HR Breakdown'!P52*(1-Assumptions!$J117)</f>
        <v>0</v>
      </c>
      <c r="S57" s="122">
        <f>+' HR Breakdown'!Q52*(1-Assumptions!$J117)</f>
        <v>0</v>
      </c>
      <c r="T57" s="122">
        <f>+' HR Breakdown'!R52*(1-Assumptions!$J117)</f>
        <v>0</v>
      </c>
      <c r="U57" s="122">
        <f>+' HR Breakdown'!S52*(1-Assumptions!$J117)</f>
        <v>0</v>
      </c>
      <c r="V57" s="122">
        <f>+' HR Breakdown'!T52*(1-Assumptions!$J117)</f>
        <v>0</v>
      </c>
      <c r="W57" s="122">
        <f>+' HR Breakdown'!U52*(1-Assumptions!$J117)</f>
        <v>0</v>
      </c>
      <c r="X57" s="122">
        <f>+' HR Breakdown'!V52*(1-Assumptions!$J117)</f>
        <v>0</v>
      </c>
      <c r="Y57" s="122">
        <f>+' HR Breakdown'!W52*(1-Assumptions!$J117)</f>
        <v>0</v>
      </c>
      <c r="Z57" s="122">
        <f>+' HR Breakdown'!X52*(1-Assumptions!$J117)</f>
        <v>0</v>
      </c>
      <c r="AA57" s="122">
        <f>+' HR Breakdown'!Y52*(1-Assumptions!$J117)</f>
        <v>0</v>
      </c>
      <c r="AB57" s="123">
        <f>+' HR Breakdown'!Z52*(1-Assumptions!$J117)</f>
        <v>0</v>
      </c>
      <c r="AC57" s="121">
        <f>+' HR Breakdown'!AA52*(1-Assumptions!$J117)</f>
        <v>0</v>
      </c>
      <c r="AD57" s="122">
        <f>+' HR Breakdown'!AB52*(1-Assumptions!$J117)</f>
        <v>0</v>
      </c>
      <c r="AE57" s="122">
        <f>+' HR Breakdown'!AC52*(1-Assumptions!$J117)</f>
        <v>0</v>
      </c>
      <c r="AF57" s="122">
        <f>+' HR Breakdown'!AD52*(1-Assumptions!$J117)</f>
        <v>0</v>
      </c>
      <c r="AG57" s="122">
        <f>+' HR Breakdown'!AE52*(1-Assumptions!$J117)</f>
        <v>0</v>
      </c>
      <c r="AH57" s="122">
        <f>+' HR Breakdown'!AF52*(1-Assumptions!$J117)</f>
        <v>0</v>
      </c>
      <c r="AI57" s="122">
        <f>+' HR Breakdown'!AG52*(1-Assumptions!$J117)</f>
        <v>0</v>
      </c>
      <c r="AJ57" s="122">
        <f>+' HR Breakdown'!AH52*(1-Assumptions!$J117)</f>
        <v>0</v>
      </c>
      <c r="AK57" s="122">
        <f>+' HR Breakdown'!AI52*(1-Assumptions!$J117)</f>
        <v>0</v>
      </c>
      <c r="AL57" s="122">
        <f>+' HR Breakdown'!AJ52*(1-Assumptions!$J117)</f>
        <v>0</v>
      </c>
      <c r="AM57" s="122">
        <f>+' HR Breakdown'!AK52*(1-Assumptions!$J117)</f>
        <v>0</v>
      </c>
      <c r="AN57" s="123">
        <f>+' HR Breakdown'!AL52*(1-Assumptions!$J117)</f>
        <v>0</v>
      </c>
      <c r="AO57" s="121">
        <f>+' HR Breakdown'!AM52*(1-Assumptions!$J117)</f>
        <v>0</v>
      </c>
      <c r="AP57" s="122">
        <f>+' HR Breakdown'!AN52*(1-Assumptions!$J117)</f>
        <v>0</v>
      </c>
      <c r="AQ57" s="122">
        <f>+' HR Breakdown'!AO52*(1-Assumptions!$J117)</f>
        <v>0</v>
      </c>
      <c r="AR57" s="122">
        <f>+' HR Breakdown'!AP52*(1-Assumptions!$J117)</f>
        <v>0</v>
      </c>
      <c r="AS57" s="122">
        <f>+' HR Breakdown'!AQ52*(1-Assumptions!$J117)</f>
        <v>0</v>
      </c>
      <c r="AT57" s="122">
        <f>+' HR Breakdown'!AR52*(1-Assumptions!$J117)</f>
        <v>0</v>
      </c>
      <c r="AU57" s="122">
        <f>+' HR Breakdown'!AS52*(1-Assumptions!$J117)</f>
        <v>0</v>
      </c>
      <c r="AV57" s="122">
        <f>+' HR Breakdown'!AT52*(1-Assumptions!$J117)</f>
        <v>0</v>
      </c>
      <c r="AW57" s="122">
        <f>+' HR Breakdown'!AU52*(1-Assumptions!$J117)</f>
        <v>0</v>
      </c>
      <c r="AX57" s="122">
        <f>+' HR Breakdown'!AV52*(1-Assumptions!$J117)</f>
        <v>0</v>
      </c>
      <c r="AY57" s="122">
        <f>+' HR Breakdown'!AW52*(1-Assumptions!$J117)</f>
        <v>0</v>
      </c>
      <c r="AZ57" s="123">
        <f>+' HR Breakdown'!AX52*(1-Assumptions!$J117)</f>
        <v>0</v>
      </c>
      <c r="BA57" s="121">
        <f>+' HR Breakdown'!AY52*(1-Assumptions!$J117)</f>
        <v>0</v>
      </c>
      <c r="BB57" s="122">
        <f>+' HR Breakdown'!AZ52*(1-Assumptions!$J117)</f>
        <v>0</v>
      </c>
      <c r="BC57" s="122">
        <f>+' HR Breakdown'!BA52*(1-Assumptions!$J117)</f>
        <v>0</v>
      </c>
      <c r="BD57" s="122">
        <f>+' HR Breakdown'!BB52*(1-Assumptions!$J117)</f>
        <v>0</v>
      </c>
      <c r="BE57" s="122">
        <f>+' HR Breakdown'!BC52*(1-Assumptions!$J117)</f>
        <v>0</v>
      </c>
      <c r="BF57" s="122">
        <f>+' HR Breakdown'!BD52*(1-Assumptions!$J117)</f>
        <v>0</v>
      </c>
      <c r="BG57" s="122">
        <f>+' HR Breakdown'!BE52*(1-Assumptions!$J117)</f>
        <v>0</v>
      </c>
      <c r="BH57" s="122">
        <f>+' HR Breakdown'!BF52*(1-Assumptions!$J117)</f>
        <v>0</v>
      </c>
      <c r="BI57" s="122">
        <f>+' HR Breakdown'!BG52*(1-Assumptions!$J117)</f>
        <v>0</v>
      </c>
      <c r="BJ57" s="122">
        <f>+' HR Breakdown'!BH52*(1-Assumptions!$J117)</f>
        <v>0</v>
      </c>
      <c r="BK57" s="122">
        <f>+' HR Breakdown'!BI52*(1-Assumptions!$J117)</f>
        <v>0</v>
      </c>
      <c r="BL57" s="123">
        <f>+' HR Breakdown'!BJ52*(1-Assumptions!$J117)</f>
        <v>0</v>
      </c>
    </row>
    <row r="58" spans="2:64" s="341" customFormat="1" ht="25.95" customHeight="1" hidden="1" outlineLevel="3">
      <c r="B58" s="346">
        <f>+Assumptions!B118</f>
        <v>0</v>
      </c>
      <c r="C58" s="348"/>
      <c r="D58" s="1020">
        <f>+Assumptions!C118</f>
        <v>0</v>
      </c>
      <c r="E58" s="122">
        <f>+' HR Breakdown'!C53*(1-Assumptions!$J118)</f>
        <v>0</v>
      </c>
      <c r="F58" s="122">
        <f>+' HR Breakdown'!D53*(1-Assumptions!$J118)</f>
        <v>0</v>
      </c>
      <c r="G58" s="122">
        <f>+' HR Breakdown'!E53*(1-Assumptions!$J118)</f>
        <v>0</v>
      </c>
      <c r="H58" s="122">
        <f>+' HR Breakdown'!F53*(1-Assumptions!$J118)</f>
        <v>0</v>
      </c>
      <c r="I58" s="122">
        <f>+' HR Breakdown'!G53*(1-Assumptions!$J118)</f>
        <v>0</v>
      </c>
      <c r="J58" s="122">
        <f>+' HR Breakdown'!H53*(1-Assumptions!$J118)</f>
        <v>0</v>
      </c>
      <c r="K58" s="122">
        <f>+' HR Breakdown'!I53*(1-Assumptions!$J118)</f>
        <v>0</v>
      </c>
      <c r="L58" s="122">
        <f>+' HR Breakdown'!J53*(1-Assumptions!$J118)</f>
        <v>0</v>
      </c>
      <c r="M58" s="122">
        <f>+' HR Breakdown'!K53*(1-Assumptions!$J118)</f>
        <v>0</v>
      </c>
      <c r="N58" s="122">
        <f>+' HR Breakdown'!L53*(1-Assumptions!$J118)</f>
        <v>0</v>
      </c>
      <c r="O58" s="122">
        <f>+' HR Breakdown'!M53*(1-Assumptions!$J118)</f>
        <v>0</v>
      </c>
      <c r="P58" s="123">
        <f>+' HR Breakdown'!N53*(1-Assumptions!$J118)</f>
        <v>0</v>
      </c>
      <c r="Q58" s="121">
        <f>+' HR Breakdown'!O53*(1-Assumptions!$J118)</f>
        <v>0</v>
      </c>
      <c r="R58" s="122">
        <f>+' HR Breakdown'!P53*(1-Assumptions!$J118)</f>
        <v>0</v>
      </c>
      <c r="S58" s="122">
        <f>+' HR Breakdown'!Q53*(1-Assumptions!$J118)</f>
        <v>0</v>
      </c>
      <c r="T58" s="122">
        <f>+' HR Breakdown'!R53*(1-Assumptions!$J118)</f>
        <v>0</v>
      </c>
      <c r="U58" s="122">
        <f>+' HR Breakdown'!S53*(1-Assumptions!$J118)</f>
        <v>0</v>
      </c>
      <c r="V58" s="122">
        <f>+' HR Breakdown'!T53*(1-Assumptions!$J118)</f>
        <v>0</v>
      </c>
      <c r="W58" s="122">
        <f>+' HR Breakdown'!U53*(1-Assumptions!$J118)</f>
        <v>0</v>
      </c>
      <c r="X58" s="122">
        <f>+' HR Breakdown'!V53*(1-Assumptions!$J118)</f>
        <v>0</v>
      </c>
      <c r="Y58" s="122">
        <f>+' HR Breakdown'!W53*(1-Assumptions!$J118)</f>
        <v>0</v>
      </c>
      <c r="Z58" s="122">
        <f>+' HR Breakdown'!X53*(1-Assumptions!$J118)</f>
        <v>0</v>
      </c>
      <c r="AA58" s="122">
        <f>+' HR Breakdown'!Y53*(1-Assumptions!$J118)</f>
        <v>0</v>
      </c>
      <c r="AB58" s="123">
        <f>+' HR Breakdown'!Z53*(1-Assumptions!$J118)</f>
        <v>0</v>
      </c>
      <c r="AC58" s="121">
        <f>+' HR Breakdown'!AA53*(1-Assumptions!$J118)</f>
        <v>0</v>
      </c>
      <c r="AD58" s="122">
        <f>+' HR Breakdown'!AB53*(1-Assumptions!$J118)</f>
        <v>0</v>
      </c>
      <c r="AE58" s="122">
        <f>+' HR Breakdown'!AC53*(1-Assumptions!$J118)</f>
        <v>0</v>
      </c>
      <c r="AF58" s="122">
        <f>+' HR Breakdown'!AD53*(1-Assumptions!$J118)</f>
        <v>0</v>
      </c>
      <c r="AG58" s="122">
        <f>+' HR Breakdown'!AE53*(1-Assumptions!$J118)</f>
        <v>0</v>
      </c>
      <c r="AH58" s="122">
        <f>+' HR Breakdown'!AF53*(1-Assumptions!$J118)</f>
        <v>0</v>
      </c>
      <c r="AI58" s="122">
        <f>+' HR Breakdown'!AG53*(1-Assumptions!$J118)</f>
        <v>0</v>
      </c>
      <c r="AJ58" s="122">
        <f>+' HR Breakdown'!AH53*(1-Assumptions!$J118)</f>
        <v>0</v>
      </c>
      <c r="AK58" s="122">
        <f>+' HR Breakdown'!AI53*(1-Assumptions!$J118)</f>
        <v>0</v>
      </c>
      <c r="AL58" s="122">
        <f>+' HR Breakdown'!AJ53*(1-Assumptions!$J118)</f>
        <v>0</v>
      </c>
      <c r="AM58" s="122">
        <f>+' HR Breakdown'!AK53*(1-Assumptions!$J118)</f>
        <v>0</v>
      </c>
      <c r="AN58" s="123">
        <f>+' HR Breakdown'!AL53*(1-Assumptions!$J118)</f>
        <v>0</v>
      </c>
      <c r="AO58" s="121">
        <f>+' HR Breakdown'!AM53*(1-Assumptions!$J118)</f>
        <v>0</v>
      </c>
      <c r="AP58" s="122">
        <f>+' HR Breakdown'!AN53*(1-Assumptions!$J118)</f>
        <v>0</v>
      </c>
      <c r="AQ58" s="122">
        <f>+' HR Breakdown'!AO53*(1-Assumptions!$J118)</f>
        <v>0</v>
      </c>
      <c r="AR58" s="122">
        <f>+' HR Breakdown'!AP53*(1-Assumptions!$J118)</f>
        <v>0</v>
      </c>
      <c r="AS58" s="122">
        <f>+' HR Breakdown'!AQ53*(1-Assumptions!$J118)</f>
        <v>0</v>
      </c>
      <c r="AT58" s="122">
        <f>+' HR Breakdown'!AR53*(1-Assumptions!$J118)</f>
        <v>0</v>
      </c>
      <c r="AU58" s="122">
        <f>+' HR Breakdown'!AS53*(1-Assumptions!$J118)</f>
        <v>0</v>
      </c>
      <c r="AV58" s="122">
        <f>+' HR Breakdown'!AT53*(1-Assumptions!$J118)</f>
        <v>0</v>
      </c>
      <c r="AW58" s="122">
        <f>+' HR Breakdown'!AU53*(1-Assumptions!$J118)</f>
        <v>0</v>
      </c>
      <c r="AX58" s="122">
        <f>+' HR Breakdown'!AV53*(1-Assumptions!$J118)</f>
        <v>0</v>
      </c>
      <c r="AY58" s="122">
        <f>+' HR Breakdown'!AW53*(1-Assumptions!$J118)</f>
        <v>0</v>
      </c>
      <c r="AZ58" s="123">
        <f>+' HR Breakdown'!AX53*(1-Assumptions!$J118)</f>
        <v>0</v>
      </c>
      <c r="BA58" s="121">
        <f>+' HR Breakdown'!AY53*(1-Assumptions!$J118)</f>
        <v>0</v>
      </c>
      <c r="BB58" s="122">
        <f>+' HR Breakdown'!AZ53*(1-Assumptions!$J118)</f>
        <v>0</v>
      </c>
      <c r="BC58" s="122">
        <f>+' HR Breakdown'!BA53*(1-Assumptions!$J118)</f>
        <v>0</v>
      </c>
      <c r="BD58" s="122">
        <f>+' HR Breakdown'!BB53*(1-Assumptions!$J118)</f>
        <v>0</v>
      </c>
      <c r="BE58" s="122">
        <f>+' HR Breakdown'!BC53*(1-Assumptions!$J118)</f>
        <v>0</v>
      </c>
      <c r="BF58" s="122">
        <f>+' HR Breakdown'!BD53*(1-Assumptions!$J118)</f>
        <v>0</v>
      </c>
      <c r="BG58" s="122">
        <f>+' HR Breakdown'!BE53*(1-Assumptions!$J118)</f>
        <v>0</v>
      </c>
      <c r="BH58" s="122">
        <f>+' HR Breakdown'!BF53*(1-Assumptions!$J118)</f>
        <v>0</v>
      </c>
      <c r="BI58" s="122">
        <f>+' HR Breakdown'!BG53*(1-Assumptions!$J118)</f>
        <v>0</v>
      </c>
      <c r="BJ58" s="122">
        <f>+' HR Breakdown'!BH53*(1-Assumptions!$J118)</f>
        <v>0</v>
      </c>
      <c r="BK58" s="122">
        <f>+' HR Breakdown'!BI53*(1-Assumptions!$J118)</f>
        <v>0</v>
      </c>
      <c r="BL58" s="123">
        <f>+' HR Breakdown'!BJ53*(1-Assumptions!$J118)</f>
        <v>0</v>
      </c>
    </row>
    <row r="59" spans="2:64" s="341" customFormat="1" ht="25.95" customHeight="1" hidden="1" outlineLevel="3">
      <c r="B59" s="346">
        <f>+Assumptions!B119</f>
        <v>0</v>
      </c>
      <c r="C59" s="348"/>
      <c r="D59" s="1020">
        <f>+Assumptions!C119</f>
        <v>0</v>
      </c>
      <c r="E59" s="122">
        <f>+' HR Breakdown'!C54*(1-Assumptions!$J119)</f>
        <v>0</v>
      </c>
      <c r="F59" s="122">
        <f>+' HR Breakdown'!D54*(1-Assumptions!$J119)</f>
        <v>0</v>
      </c>
      <c r="G59" s="122">
        <f>+' HR Breakdown'!E54*(1-Assumptions!$J119)</f>
        <v>0</v>
      </c>
      <c r="H59" s="122">
        <f>+' HR Breakdown'!F54*(1-Assumptions!$J119)</f>
        <v>0</v>
      </c>
      <c r="I59" s="122">
        <f>+' HR Breakdown'!G54*(1-Assumptions!$J119)</f>
        <v>0</v>
      </c>
      <c r="J59" s="122">
        <f>+' HR Breakdown'!H54*(1-Assumptions!$J119)</f>
        <v>0</v>
      </c>
      <c r="K59" s="122">
        <f>+' HR Breakdown'!I54*(1-Assumptions!$J119)</f>
        <v>0</v>
      </c>
      <c r="L59" s="122">
        <f>+' HR Breakdown'!J54*(1-Assumptions!$J119)</f>
        <v>0</v>
      </c>
      <c r="M59" s="122">
        <f>+' HR Breakdown'!K54*(1-Assumptions!$J119)</f>
        <v>0</v>
      </c>
      <c r="N59" s="122">
        <f>+' HR Breakdown'!L54*(1-Assumptions!$J119)</f>
        <v>0</v>
      </c>
      <c r="O59" s="122">
        <f>+' HR Breakdown'!M54*(1-Assumptions!$J119)</f>
        <v>0</v>
      </c>
      <c r="P59" s="123">
        <f>+' HR Breakdown'!N54*(1-Assumptions!$J119)</f>
        <v>0</v>
      </c>
      <c r="Q59" s="121">
        <f>+' HR Breakdown'!O54*(1-Assumptions!$J119)</f>
        <v>0</v>
      </c>
      <c r="R59" s="122">
        <f>+' HR Breakdown'!P54*(1-Assumptions!$J119)</f>
        <v>0</v>
      </c>
      <c r="S59" s="122">
        <f>+' HR Breakdown'!Q54*(1-Assumptions!$J119)</f>
        <v>0</v>
      </c>
      <c r="T59" s="122">
        <f>+' HR Breakdown'!R54*(1-Assumptions!$J119)</f>
        <v>0</v>
      </c>
      <c r="U59" s="122">
        <f>+' HR Breakdown'!S54*(1-Assumptions!$J119)</f>
        <v>0</v>
      </c>
      <c r="V59" s="122">
        <f>+' HR Breakdown'!T54*(1-Assumptions!$J119)</f>
        <v>0</v>
      </c>
      <c r="W59" s="122">
        <f>+' HR Breakdown'!U54*(1-Assumptions!$J119)</f>
        <v>0</v>
      </c>
      <c r="X59" s="122">
        <f>+' HR Breakdown'!V54*(1-Assumptions!$J119)</f>
        <v>0</v>
      </c>
      <c r="Y59" s="122">
        <f>+' HR Breakdown'!W54*(1-Assumptions!$J119)</f>
        <v>0</v>
      </c>
      <c r="Z59" s="122">
        <f>+' HR Breakdown'!X54*(1-Assumptions!$J119)</f>
        <v>0</v>
      </c>
      <c r="AA59" s="122">
        <f>+' HR Breakdown'!Y54*(1-Assumptions!$J119)</f>
        <v>0</v>
      </c>
      <c r="AB59" s="123">
        <f>+' HR Breakdown'!Z54*(1-Assumptions!$J119)</f>
        <v>0</v>
      </c>
      <c r="AC59" s="121">
        <f>+' HR Breakdown'!AA54*(1-Assumptions!$J119)</f>
        <v>0</v>
      </c>
      <c r="AD59" s="122">
        <f>+' HR Breakdown'!AB54*(1-Assumptions!$J119)</f>
        <v>0</v>
      </c>
      <c r="AE59" s="122">
        <f>+' HR Breakdown'!AC54*(1-Assumptions!$J119)</f>
        <v>0</v>
      </c>
      <c r="AF59" s="122">
        <f>+' HR Breakdown'!AD54*(1-Assumptions!$J119)</f>
        <v>0</v>
      </c>
      <c r="AG59" s="122">
        <f>+' HR Breakdown'!AE54*(1-Assumptions!$J119)</f>
        <v>0</v>
      </c>
      <c r="AH59" s="122">
        <f>+' HR Breakdown'!AF54*(1-Assumptions!$J119)</f>
        <v>0</v>
      </c>
      <c r="AI59" s="122">
        <f>+' HR Breakdown'!AG54*(1-Assumptions!$J119)</f>
        <v>0</v>
      </c>
      <c r="AJ59" s="122">
        <f>+' HR Breakdown'!AH54*(1-Assumptions!$J119)</f>
        <v>0</v>
      </c>
      <c r="AK59" s="122">
        <f>+' HR Breakdown'!AI54*(1-Assumptions!$J119)</f>
        <v>0</v>
      </c>
      <c r="AL59" s="122">
        <f>+' HR Breakdown'!AJ54*(1-Assumptions!$J119)</f>
        <v>0</v>
      </c>
      <c r="AM59" s="122">
        <f>+' HR Breakdown'!AK54*(1-Assumptions!$J119)</f>
        <v>0</v>
      </c>
      <c r="AN59" s="123">
        <f>+' HR Breakdown'!AL54*(1-Assumptions!$J119)</f>
        <v>0</v>
      </c>
      <c r="AO59" s="121">
        <f>+' HR Breakdown'!AM54*(1-Assumptions!$J119)</f>
        <v>0</v>
      </c>
      <c r="AP59" s="122">
        <f>+' HR Breakdown'!AN54*(1-Assumptions!$J119)</f>
        <v>0</v>
      </c>
      <c r="AQ59" s="122">
        <f>+' HR Breakdown'!AO54*(1-Assumptions!$J119)</f>
        <v>0</v>
      </c>
      <c r="AR59" s="122">
        <f>+' HR Breakdown'!AP54*(1-Assumptions!$J119)</f>
        <v>0</v>
      </c>
      <c r="AS59" s="122">
        <f>+' HR Breakdown'!AQ54*(1-Assumptions!$J119)</f>
        <v>0</v>
      </c>
      <c r="AT59" s="122">
        <f>+' HR Breakdown'!AR54*(1-Assumptions!$J119)</f>
        <v>0</v>
      </c>
      <c r="AU59" s="122">
        <f>+' HR Breakdown'!AS54*(1-Assumptions!$J119)</f>
        <v>0</v>
      </c>
      <c r="AV59" s="122">
        <f>+' HR Breakdown'!AT54*(1-Assumptions!$J119)</f>
        <v>0</v>
      </c>
      <c r="AW59" s="122">
        <f>+' HR Breakdown'!AU54*(1-Assumptions!$J119)</f>
        <v>0</v>
      </c>
      <c r="AX59" s="122">
        <f>+' HR Breakdown'!AV54*(1-Assumptions!$J119)</f>
        <v>0</v>
      </c>
      <c r="AY59" s="122">
        <f>+' HR Breakdown'!AW54*(1-Assumptions!$J119)</f>
        <v>0</v>
      </c>
      <c r="AZ59" s="123">
        <f>+' HR Breakdown'!AX54*(1-Assumptions!$J119)</f>
        <v>0</v>
      </c>
      <c r="BA59" s="121">
        <f>+' HR Breakdown'!AY54*(1-Assumptions!$J119)</f>
        <v>0</v>
      </c>
      <c r="BB59" s="122">
        <f>+' HR Breakdown'!AZ54*(1-Assumptions!$J119)</f>
        <v>0</v>
      </c>
      <c r="BC59" s="122">
        <f>+' HR Breakdown'!BA54*(1-Assumptions!$J119)</f>
        <v>0</v>
      </c>
      <c r="BD59" s="122">
        <f>+' HR Breakdown'!BB54*(1-Assumptions!$J119)</f>
        <v>0</v>
      </c>
      <c r="BE59" s="122">
        <f>+' HR Breakdown'!BC54*(1-Assumptions!$J119)</f>
        <v>0</v>
      </c>
      <c r="BF59" s="122">
        <f>+' HR Breakdown'!BD54*(1-Assumptions!$J119)</f>
        <v>0</v>
      </c>
      <c r="BG59" s="122">
        <f>+' HR Breakdown'!BE54*(1-Assumptions!$J119)</f>
        <v>0</v>
      </c>
      <c r="BH59" s="122">
        <f>+' HR Breakdown'!BF54*(1-Assumptions!$J119)</f>
        <v>0</v>
      </c>
      <c r="BI59" s="122">
        <f>+' HR Breakdown'!BG54*(1-Assumptions!$J119)</f>
        <v>0</v>
      </c>
      <c r="BJ59" s="122">
        <f>+' HR Breakdown'!BH54*(1-Assumptions!$J119)</f>
        <v>0</v>
      </c>
      <c r="BK59" s="122">
        <f>+' HR Breakdown'!BI54*(1-Assumptions!$J119)</f>
        <v>0</v>
      </c>
      <c r="BL59" s="123">
        <f>+' HR Breakdown'!BJ54*(1-Assumptions!$J119)</f>
        <v>0</v>
      </c>
    </row>
    <row r="60" spans="2:64" s="341" customFormat="1" ht="25.95" customHeight="1" hidden="1" outlineLevel="3">
      <c r="B60" s="346">
        <f>+Assumptions!B120</f>
        <v>0</v>
      </c>
      <c r="C60" s="348"/>
      <c r="D60" s="1020">
        <f>+Assumptions!C120</f>
        <v>0</v>
      </c>
      <c r="E60" s="122">
        <f>+' HR Breakdown'!C55*(1-Assumptions!$J120)</f>
        <v>0</v>
      </c>
      <c r="F60" s="122">
        <f>+' HR Breakdown'!D55*(1-Assumptions!$J120)</f>
        <v>0</v>
      </c>
      <c r="G60" s="122">
        <f>+' HR Breakdown'!E55*(1-Assumptions!$J120)</f>
        <v>0</v>
      </c>
      <c r="H60" s="122">
        <f>+' HR Breakdown'!F55*(1-Assumptions!$J120)</f>
        <v>0</v>
      </c>
      <c r="I60" s="122">
        <f>+' HR Breakdown'!G55*(1-Assumptions!$J120)</f>
        <v>0</v>
      </c>
      <c r="J60" s="122">
        <f>+' HR Breakdown'!H55*(1-Assumptions!$J120)</f>
        <v>0</v>
      </c>
      <c r="K60" s="122">
        <f>+' HR Breakdown'!I55*(1-Assumptions!$J120)</f>
        <v>0</v>
      </c>
      <c r="L60" s="122">
        <f>+' HR Breakdown'!J55*(1-Assumptions!$J120)</f>
        <v>0</v>
      </c>
      <c r="M60" s="122">
        <f>+' HR Breakdown'!K55*(1-Assumptions!$J120)</f>
        <v>0</v>
      </c>
      <c r="N60" s="122">
        <f>+' HR Breakdown'!L55*(1-Assumptions!$J120)</f>
        <v>0</v>
      </c>
      <c r="O60" s="122">
        <f>+' HR Breakdown'!M55*(1-Assumptions!$J120)</f>
        <v>0</v>
      </c>
      <c r="P60" s="123">
        <f>+' HR Breakdown'!N55*(1-Assumptions!$J120)</f>
        <v>0</v>
      </c>
      <c r="Q60" s="121">
        <f>+' HR Breakdown'!O55*(1-Assumptions!$J120)</f>
        <v>0</v>
      </c>
      <c r="R60" s="122">
        <f>+' HR Breakdown'!P55*(1-Assumptions!$J120)</f>
        <v>0</v>
      </c>
      <c r="S60" s="122">
        <f>+' HR Breakdown'!Q55*(1-Assumptions!$J120)</f>
        <v>0</v>
      </c>
      <c r="T60" s="122">
        <f>+' HR Breakdown'!R55*(1-Assumptions!$J120)</f>
        <v>0</v>
      </c>
      <c r="U60" s="122">
        <f>+' HR Breakdown'!S55*(1-Assumptions!$J120)</f>
        <v>0</v>
      </c>
      <c r="V60" s="122">
        <f>+' HR Breakdown'!T55*(1-Assumptions!$J120)</f>
        <v>0</v>
      </c>
      <c r="W60" s="122">
        <f>+' HR Breakdown'!U55*(1-Assumptions!$J120)</f>
        <v>0</v>
      </c>
      <c r="X60" s="122">
        <f>+' HR Breakdown'!V55*(1-Assumptions!$J120)</f>
        <v>0</v>
      </c>
      <c r="Y60" s="122">
        <f>+' HR Breakdown'!W55*(1-Assumptions!$J120)</f>
        <v>0</v>
      </c>
      <c r="Z60" s="122">
        <f>+' HR Breakdown'!X55*(1-Assumptions!$J120)</f>
        <v>0</v>
      </c>
      <c r="AA60" s="122">
        <f>+' HR Breakdown'!Y55*(1-Assumptions!$J120)</f>
        <v>0</v>
      </c>
      <c r="AB60" s="123">
        <f>+' HR Breakdown'!Z55*(1-Assumptions!$J120)</f>
        <v>0</v>
      </c>
      <c r="AC60" s="121">
        <f>+' HR Breakdown'!AA55*(1-Assumptions!$J120)</f>
        <v>0</v>
      </c>
      <c r="AD60" s="122">
        <f>+' HR Breakdown'!AB55*(1-Assumptions!$J120)</f>
        <v>0</v>
      </c>
      <c r="AE60" s="122">
        <f>+' HR Breakdown'!AC55*(1-Assumptions!$J120)</f>
        <v>0</v>
      </c>
      <c r="AF60" s="122">
        <f>+' HR Breakdown'!AD55*(1-Assumptions!$J120)</f>
        <v>0</v>
      </c>
      <c r="AG60" s="122">
        <f>+' HR Breakdown'!AE55*(1-Assumptions!$J120)</f>
        <v>0</v>
      </c>
      <c r="AH60" s="122">
        <f>+' HR Breakdown'!AF55*(1-Assumptions!$J120)</f>
        <v>0</v>
      </c>
      <c r="AI60" s="122">
        <f>+' HR Breakdown'!AG55*(1-Assumptions!$J120)</f>
        <v>0</v>
      </c>
      <c r="AJ60" s="122">
        <f>+' HR Breakdown'!AH55*(1-Assumptions!$J120)</f>
        <v>0</v>
      </c>
      <c r="AK60" s="122">
        <f>+' HR Breakdown'!AI55*(1-Assumptions!$J120)</f>
        <v>0</v>
      </c>
      <c r="AL60" s="122">
        <f>+' HR Breakdown'!AJ55*(1-Assumptions!$J120)</f>
        <v>0</v>
      </c>
      <c r="AM60" s="122">
        <f>+' HR Breakdown'!AK55*(1-Assumptions!$J120)</f>
        <v>0</v>
      </c>
      <c r="AN60" s="123">
        <f>+' HR Breakdown'!AL55*(1-Assumptions!$J120)</f>
        <v>0</v>
      </c>
      <c r="AO60" s="121">
        <f>+' HR Breakdown'!AM55*(1-Assumptions!$J120)</f>
        <v>0</v>
      </c>
      <c r="AP60" s="122">
        <f>+' HR Breakdown'!AN55*(1-Assumptions!$J120)</f>
        <v>0</v>
      </c>
      <c r="AQ60" s="122">
        <f>+' HR Breakdown'!AO55*(1-Assumptions!$J120)</f>
        <v>0</v>
      </c>
      <c r="AR60" s="122">
        <f>+' HR Breakdown'!AP55*(1-Assumptions!$J120)</f>
        <v>0</v>
      </c>
      <c r="AS60" s="122">
        <f>+' HR Breakdown'!AQ55*(1-Assumptions!$J120)</f>
        <v>0</v>
      </c>
      <c r="AT60" s="122">
        <f>+' HR Breakdown'!AR55*(1-Assumptions!$J120)</f>
        <v>0</v>
      </c>
      <c r="AU60" s="122">
        <f>+' HR Breakdown'!AS55*(1-Assumptions!$J120)</f>
        <v>0</v>
      </c>
      <c r="AV60" s="122">
        <f>+' HR Breakdown'!AT55*(1-Assumptions!$J120)</f>
        <v>0</v>
      </c>
      <c r="AW60" s="122">
        <f>+' HR Breakdown'!AU55*(1-Assumptions!$J120)</f>
        <v>0</v>
      </c>
      <c r="AX60" s="122">
        <f>+' HR Breakdown'!AV55*(1-Assumptions!$J120)</f>
        <v>0</v>
      </c>
      <c r="AY60" s="122">
        <f>+' HR Breakdown'!AW55*(1-Assumptions!$J120)</f>
        <v>0</v>
      </c>
      <c r="AZ60" s="123">
        <f>+' HR Breakdown'!AX55*(1-Assumptions!$J120)</f>
        <v>0</v>
      </c>
      <c r="BA60" s="121">
        <f>+' HR Breakdown'!AY55*(1-Assumptions!$J120)</f>
        <v>0</v>
      </c>
      <c r="BB60" s="122">
        <f>+' HR Breakdown'!AZ55*(1-Assumptions!$J120)</f>
        <v>0</v>
      </c>
      <c r="BC60" s="122">
        <f>+' HR Breakdown'!BA55*(1-Assumptions!$J120)</f>
        <v>0</v>
      </c>
      <c r="BD60" s="122">
        <f>+' HR Breakdown'!BB55*(1-Assumptions!$J120)</f>
        <v>0</v>
      </c>
      <c r="BE60" s="122">
        <f>+' HR Breakdown'!BC55*(1-Assumptions!$J120)</f>
        <v>0</v>
      </c>
      <c r="BF60" s="122">
        <f>+' HR Breakdown'!BD55*(1-Assumptions!$J120)</f>
        <v>0</v>
      </c>
      <c r="BG60" s="122">
        <f>+' HR Breakdown'!BE55*(1-Assumptions!$J120)</f>
        <v>0</v>
      </c>
      <c r="BH60" s="122">
        <f>+' HR Breakdown'!BF55*(1-Assumptions!$J120)</f>
        <v>0</v>
      </c>
      <c r="BI60" s="122">
        <f>+' HR Breakdown'!BG55*(1-Assumptions!$J120)</f>
        <v>0</v>
      </c>
      <c r="BJ60" s="122">
        <f>+' HR Breakdown'!BH55*(1-Assumptions!$J120)</f>
        <v>0</v>
      </c>
      <c r="BK60" s="122">
        <f>+' HR Breakdown'!BI55*(1-Assumptions!$J120)</f>
        <v>0</v>
      </c>
      <c r="BL60" s="123">
        <f>+' HR Breakdown'!BJ55*(1-Assumptions!$J120)</f>
        <v>0</v>
      </c>
    </row>
    <row r="61" spans="2:64" s="341" customFormat="1" ht="25.95" customHeight="1" hidden="1" outlineLevel="3">
      <c r="B61" s="346">
        <f>+Assumptions!B121</f>
        <v>0</v>
      </c>
      <c r="C61" s="348"/>
      <c r="D61" s="1020">
        <f>+Assumptions!C121</f>
        <v>0</v>
      </c>
      <c r="E61" s="122">
        <f>+' HR Breakdown'!C56*(1-Assumptions!$J121)</f>
        <v>0</v>
      </c>
      <c r="F61" s="122">
        <f>+' HR Breakdown'!D56*(1-Assumptions!$J121)</f>
        <v>0</v>
      </c>
      <c r="G61" s="122">
        <f>+' HR Breakdown'!E56*(1-Assumptions!$J121)</f>
        <v>0</v>
      </c>
      <c r="H61" s="122">
        <f>+' HR Breakdown'!F56*(1-Assumptions!$J121)</f>
        <v>0</v>
      </c>
      <c r="I61" s="122">
        <f>+' HR Breakdown'!G56*(1-Assumptions!$J121)</f>
        <v>0</v>
      </c>
      <c r="J61" s="122">
        <f>+' HR Breakdown'!H56*(1-Assumptions!$J121)</f>
        <v>0</v>
      </c>
      <c r="K61" s="122">
        <f>+' HR Breakdown'!I56*(1-Assumptions!$J121)</f>
        <v>0</v>
      </c>
      <c r="L61" s="122">
        <f>+' HR Breakdown'!J56*(1-Assumptions!$J121)</f>
        <v>0</v>
      </c>
      <c r="M61" s="122">
        <f>+' HR Breakdown'!K56*(1-Assumptions!$J121)</f>
        <v>0</v>
      </c>
      <c r="N61" s="122">
        <f>+' HR Breakdown'!L56*(1-Assumptions!$J121)</f>
        <v>0</v>
      </c>
      <c r="O61" s="122">
        <f>+' HR Breakdown'!M56*(1-Assumptions!$J121)</f>
        <v>0</v>
      </c>
      <c r="P61" s="123">
        <f>+' HR Breakdown'!N56*(1-Assumptions!$J121)</f>
        <v>0</v>
      </c>
      <c r="Q61" s="121">
        <f>+' HR Breakdown'!O56*(1-Assumptions!$J121)</f>
        <v>0</v>
      </c>
      <c r="R61" s="122">
        <f>+' HR Breakdown'!P56*(1-Assumptions!$J121)</f>
        <v>0</v>
      </c>
      <c r="S61" s="122">
        <f>+' HR Breakdown'!Q56*(1-Assumptions!$J121)</f>
        <v>0</v>
      </c>
      <c r="T61" s="122">
        <f>+' HR Breakdown'!R56*(1-Assumptions!$J121)</f>
        <v>0</v>
      </c>
      <c r="U61" s="122">
        <f>+' HR Breakdown'!S56*(1-Assumptions!$J121)</f>
        <v>0</v>
      </c>
      <c r="V61" s="122">
        <f>+' HR Breakdown'!T56*(1-Assumptions!$J121)</f>
        <v>0</v>
      </c>
      <c r="W61" s="122">
        <f>+' HR Breakdown'!U56*(1-Assumptions!$J121)</f>
        <v>0</v>
      </c>
      <c r="X61" s="122">
        <f>+' HR Breakdown'!V56*(1-Assumptions!$J121)</f>
        <v>0</v>
      </c>
      <c r="Y61" s="122">
        <f>+' HR Breakdown'!W56*(1-Assumptions!$J121)</f>
        <v>0</v>
      </c>
      <c r="Z61" s="122">
        <f>+' HR Breakdown'!X56*(1-Assumptions!$J121)</f>
        <v>0</v>
      </c>
      <c r="AA61" s="122">
        <f>+' HR Breakdown'!Y56*(1-Assumptions!$J121)</f>
        <v>0</v>
      </c>
      <c r="AB61" s="123">
        <f>+' HR Breakdown'!Z56*(1-Assumptions!$J121)</f>
        <v>0</v>
      </c>
      <c r="AC61" s="121">
        <f>+' HR Breakdown'!AA56*(1-Assumptions!$J121)</f>
        <v>0</v>
      </c>
      <c r="AD61" s="122">
        <f>+' HR Breakdown'!AB56*(1-Assumptions!$J121)</f>
        <v>0</v>
      </c>
      <c r="AE61" s="122">
        <f>+' HR Breakdown'!AC56*(1-Assumptions!$J121)</f>
        <v>0</v>
      </c>
      <c r="AF61" s="122">
        <f>+' HR Breakdown'!AD56*(1-Assumptions!$J121)</f>
        <v>0</v>
      </c>
      <c r="AG61" s="122">
        <f>+' HR Breakdown'!AE56*(1-Assumptions!$J121)</f>
        <v>0</v>
      </c>
      <c r="AH61" s="122">
        <f>+' HR Breakdown'!AF56*(1-Assumptions!$J121)</f>
        <v>0</v>
      </c>
      <c r="AI61" s="122">
        <f>+' HR Breakdown'!AG56*(1-Assumptions!$J121)</f>
        <v>0</v>
      </c>
      <c r="AJ61" s="122">
        <f>+' HR Breakdown'!AH56*(1-Assumptions!$J121)</f>
        <v>0</v>
      </c>
      <c r="AK61" s="122">
        <f>+' HR Breakdown'!AI56*(1-Assumptions!$J121)</f>
        <v>0</v>
      </c>
      <c r="AL61" s="122">
        <f>+' HR Breakdown'!AJ56*(1-Assumptions!$J121)</f>
        <v>0</v>
      </c>
      <c r="AM61" s="122">
        <f>+' HR Breakdown'!AK56*(1-Assumptions!$J121)</f>
        <v>0</v>
      </c>
      <c r="AN61" s="123">
        <f>+' HR Breakdown'!AL56*(1-Assumptions!$J121)</f>
        <v>0</v>
      </c>
      <c r="AO61" s="121">
        <f>+' HR Breakdown'!AM56*(1-Assumptions!$J121)</f>
        <v>0</v>
      </c>
      <c r="AP61" s="122">
        <f>+' HR Breakdown'!AN56*(1-Assumptions!$J121)</f>
        <v>0</v>
      </c>
      <c r="AQ61" s="122">
        <f>+' HR Breakdown'!AO56*(1-Assumptions!$J121)</f>
        <v>0</v>
      </c>
      <c r="AR61" s="122">
        <f>+' HR Breakdown'!AP56*(1-Assumptions!$J121)</f>
        <v>0</v>
      </c>
      <c r="AS61" s="122">
        <f>+' HR Breakdown'!AQ56*(1-Assumptions!$J121)</f>
        <v>0</v>
      </c>
      <c r="AT61" s="122">
        <f>+' HR Breakdown'!AR56*(1-Assumptions!$J121)</f>
        <v>0</v>
      </c>
      <c r="AU61" s="122">
        <f>+' HR Breakdown'!AS56*(1-Assumptions!$J121)</f>
        <v>0</v>
      </c>
      <c r="AV61" s="122">
        <f>+' HR Breakdown'!AT56*(1-Assumptions!$J121)</f>
        <v>0</v>
      </c>
      <c r="AW61" s="122">
        <f>+' HR Breakdown'!AU56*(1-Assumptions!$J121)</f>
        <v>0</v>
      </c>
      <c r="AX61" s="122">
        <f>+' HR Breakdown'!AV56*(1-Assumptions!$J121)</f>
        <v>0</v>
      </c>
      <c r="AY61" s="122">
        <f>+' HR Breakdown'!AW56*(1-Assumptions!$J121)</f>
        <v>0</v>
      </c>
      <c r="AZ61" s="123">
        <f>+' HR Breakdown'!AX56*(1-Assumptions!$J121)</f>
        <v>0</v>
      </c>
      <c r="BA61" s="121">
        <f>+' HR Breakdown'!AY56*(1-Assumptions!$J121)</f>
        <v>0</v>
      </c>
      <c r="BB61" s="122">
        <f>+' HR Breakdown'!AZ56*(1-Assumptions!$J121)</f>
        <v>0</v>
      </c>
      <c r="BC61" s="122">
        <f>+' HR Breakdown'!BA56*(1-Assumptions!$J121)</f>
        <v>0</v>
      </c>
      <c r="BD61" s="122">
        <f>+' HR Breakdown'!BB56*(1-Assumptions!$J121)</f>
        <v>0</v>
      </c>
      <c r="BE61" s="122">
        <f>+' HR Breakdown'!BC56*(1-Assumptions!$J121)</f>
        <v>0</v>
      </c>
      <c r="BF61" s="122">
        <f>+' HR Breakdown'!BD56*(1-Assumptions!$J121)</f>
        <v>0</v>
      </c>
      <c r="BG61" s="122">
        <f>+' HR Breakdown'!BE56*(1-Assumptions!$J121)</f>
        <v>0</v>
      </c>
      <c r="BH61" s="122">
        <f>+' HR Breakdown'!BF56*(1-Assumptions!$J121)</f>
        <v>0</v>
      </c>
      <c r="BI61" s="122">
        <f>+' HR Breakdown'!BG56*(1-Assumptions!$J121)</f>
        <v>0</v>
      </c>
      <c r="BJ61" s="122">
        <f>+' HR Breakdown'!BH56*(1-Assumptions!$J121)</f>
        <v>0</v>
      </c>
      <c r="BK61" s="122">
        <f>+' HR Breakdown'!BI56*(1-Assumptions!$J121)</f>
        <v>0</v>
      </c>
      <c r="BL61" s="123">
        <f>+' HR Breakdown'!BJ56*(1-Assumptions!$J121)</f>
        <v>0</v>
      </c>
    </row>
    <row r="62" spans="2:64" s="341" customFormat="1" ht="25.95" customHeight="1" hidden="1" outlineLevel="3">
      <c r="B62" s="346">
        <f>+Assumptions!B122</f>
        <v>0</v>
      </c>
      <c r="C62" s="348"/>
      <c r="D62" s="1020">
        <f>+Assumptions!C122</f>
        <v>0</v>
      </c>
      <c r="E62" s="122">
        <f>+' HR Breakdown'!C57*(1-Assumptions!$J122)</f>
        <v>0</v>
      </c>
      <c r="F62" s="122">
        <f>+' HR Breakdown'!D57*(1-Assumptions!$J122)</f>
        <v>0</v>
      </c>
      <c r="G62" s="122">
        <f>+' HR Breakdown'!E57*(1-Assumptions!$J122)</f>
        <v>0</v>
      </c>
      <c r="H62" s="122">
        <f>+' HR Breakdown'!F57*(1-Assumptions!$J122)</f>
        <v>0</v>
      </c>
      <c r="I62" s="122">
        <f>+' HR Breakdown'!G57*(1-Assumptions!$J122)</f>
        <v>0</v>
      </c>
      <c r="J62" s="122">
        <f>+' HR Breakdown'!H57*(1-Assumptions!$J122)</f>
        <v>0</v>
      </c>
      <c r="K62" s="122">
        <f>+' HR Breakdown'!I57*(1-Assumptions!$J122)</f>
        <v>0</v>
      </c>
      <c r="L62" s="122">
        <f>+' HR Breakdown'!J57*(1-Assumptions!$J122)</f>
        <v>0</v>
      </c>
      <c r="M62" s="122">
        <f>+' HR Breakdown'!K57*(1-Assumptions!$J122)</f>
        <v>0</v>
      </c>
      <c r="N62" s="122">
        <f>+' HR Breakdown'!L57*(1-Assumptions!$J122)</f>
        <v>0</v>
      </c>
      <c r="O62" s="122">
        <f>+' HR Breakdown'!M57*(1-Assumptions!$J122)</f>
        <v>0</v>
      </c>
      <c r="P62" s="123">
        <f>+' HR Breakdown'!N57*(1-Assumptions!$J122)</f>
        <v>0</v>
      </c>
      <c r="Q62" s="121">
        <f>+' HR Breakdown'!O57*(1-Assumptions!$J122)</f>
        <v>0</v>
      </c>
      <c r="R62" s="122">
        <f>+' HR Breakdown'!P57*(1-Assumptions!$J122)</f>
        <v>0</v>
      </c>
      <c r="S62" s="122">
        <f>+' HR Breakdown'!Q57*(1-Assumptions!$J122)</f>
        <v>0</v>
      </c>
      <c r="T62" s="122">
        <f>+' HR Breakdown'!R57*(1-Assumptions!$J122)</f>
        <v>0</v>
      </c>
      <c r="U62" s="122">
        <f>+' HR Breakdown'!S57*(1-Assumptions!$J122)</f>
        <v>0</v>
      </c>
      <c r="V62" s="122">
        <f>+' HR Breakdown'!T57*(1-Assumptions!$J122)</f>
        <v>0</v>
      </c>
      <c r="W62" s="122">
        <f>+' HR Breakdown'!U57*(1-Assumptions!$J122)</f>
        <v>0</v>
      </c>
      <c r="X62" s="122">
        <f>+' HR Breakdown'!V57*(1-Assumptions!$J122)</f>
        <v>0</v>
      </c>
      <c r="Y62" s="122">
        <f>+' HR Breakdown'!W57*(1-Assumptions!$J122)</f>
        <v>0</v>
      </c>
      <c r="Z62" s="122">
        <f>+' HR Breakdown'!X57*(1-Assumptions!$J122)</f>
        <v>0</v>
      </c>
      <c r="AA62" s="122">
        <f>+' HR Breakdown'!Y57*(1-Assumptions!$J122)</f>
        <v>0</v>
      </c>
      <c r="AB62" s="123">
        <f>+' HR Breakdown'!Z57*(1-Assumptions!$J122)</f>
        <v>0</v>
      </c>
      <c r="AC62" s="121">
        <f>+' HR Breakdown'!AA57*(1-Assumptions!$J122)</f>
        <v>0</v>
      </c>
      <c r="AD62" s="122">
        <f>+' HR Breakdown'!AB57*(1-Assumptions!$J122)</f>
        <v>0</v>
      </c>
      <c r="AE62" s="122">
        <f>+' HR Breakdown'!AC57*(1-Assumptions!$J122)</f>
        <v>0</v>
      </c>
      <c r="AF62" s="122">
        <f>+' HR Breakdown'!AD57*(1-Assumptions!$J122)</f>
        <v>0</v>
      </c>
      <c r="AG62" s="122">
        <f>+' HR Breakdown'!AE57*(1-Assumptions!$J122)</f>
        <v>0</v>
      </c>
      <c r="AH62" s="122">
        <f>+' HR Breakdown'!AF57*(1-Assumptions!$J122)</f>
        <v>0</v>
      </c>
      <c r="AI62" s="122">
        <f>+' HR Breakdown'!AG57*(1-Assumptions!$J122)</f>
        <v>0</v>
      </c>
      <c r="AJ62" s="122">
        <f>+' HR Breakdown'!AH57*(1-Assumptions!$J122)</f>
        <v>0</v>
      </c>
      <c r="AK62" s="122">
        <f>+' HR Breakdown'!AI57*(1-Assumptions!$J122)</f>
        <v>0</v>
      </c>
      <c r="AL62" s="122">
        <f>+' HR Breakdown'!AJ57*(1-Assumptions!$J122)</f>
        <v>0</v>
      </c>
      <c r="AM62" s="122">
        <f>+' HR Breakdown'!AK57*(1-Assumptions!$J122)</f>
        <v>0</v>
      </c>
      <c r="AN62" s="123">
        <f>+' HR Breakdown'!AL57*(1-Assumptions!$J122)</f>
        <v>0</v>
      </c>
      <c r="AO62" s="121">
        <f>+' HR Breakdown'!AM57*(1-Assumptions!$J122)</f>
        <v>0</v>
      </c>
      <c r="AP62" s="122">
        <f>+' HR Breakdown'!AN57*(1-Assumptions!$J122)</f>
        <v>0</v>
      </c>
      <c r="AQ62" s="122">
        <f>+' HR Breakdown'!AO57*(1-Assumptions!$J122)</f>
        <v>0</v>
      </c>
      <c r="AR62" s="122">
        <f>+' HR Breakdown'!AP57*(1-Assumptions!$J122)</f>
        <v>0</v>
      </c>
      <c r="AS62" s="122">
        <f>+' HR Breakdown'!AQ57*(1-Assumptions!$J122)</f>
        <v>0</v>
      </c>
      <c r="AT62" s="122">
        <f>+' HR Breakdown'!AR57*(1-Assumptions!$J122)</f>
        <v>0</v>
      </c>
      <c r="AU62" s="122">
        <f>+' HR Breakdown'!AS57*(1-Assumptions!$J122)</f>
        <v>0</v>
      </c>
      <c r="AV62" s="122">
        <f>+' HR Breakdown'!AT57*(1-Assumptions!$J122)</f>
        <v>0</v>
      </c>
      <c r="AW62" s="122">
        <f>+' HR Breakdown'!AU57*(1-Assumptions!$J122)</f>
        <v>0</v>
      </c>
      <c r="AX62" s="122">
        <f>+' HR Breakdown'!AV57*(1-Assumptions!$J122)</f>
        <v>0</v>
      </c>
      <c r="AY62" s="122">
        <f>+' HR Breakdown'!AW57*(1-Assumptions!$J122)</f>
        <v>0</v>
      </c>
      <c r="AZ62" s="123">
        <f>+' HR Breakdown'!AX57*(1-Assumptions!$J122)</f>
        <v>0</v>
      </c>
      <c r="BA62" s="121">
        <f>+' HR Breakdown'!AY57*(1-Assumptions!$J122)</f>
        <v>0</v>
      </c>
      <c r="BB62" s="122">
        <f>+' HR Breakdown'!AZ57*(1-Assumptions!$J122)</f>
        <v>0</v>
      </c>
      <c r="BC62" s="122">
        <f>+' HR Breakdown'!BA57*(1-Assumptions!$J122)</f>
        <v>0</v>
      </c>
      <c r="BD62" s="122">
        <f>+' HR Breakdown'!BB57*(1-Assumptions!$J122)</f>
        <v>0</v>
      </c>
      <c r="BE62" s="122">
        <f>+' HR Breakdown'!BC57*(1-Assumptions!$J122)</f>
        <v>0</v>
      </c>
      <c r="BF62" s="122">
        <f>+' HR Breakdown'!BD57*(1-Assumptions!$J122)</f>
        <v>0</v>
      </c>
      <c r="BG62" s="122">
        <f>+' HR Breakdown'!BE57*(1-Assumptions!$J122)</f>
        <v>0</v>
      </c>
      <c r="BH62" s="122">
        <f>+' HR Breakdown'!BF57*(1-Assumptions!$J122)</f>
        <v>0</v>
      </c>
      <c r="BI62" s="122">
        <f>+' HR Breakdown'!BG57*(1-Assumptions!$J122)</f>
        <v>0</v>
      </c>
      <c r="BJ62" s="122">
        <f>+' HR Breakdown'!BH57*(1-Assumptions!$J122)</f>
        <v>0</v>
      </c>
      <c r="BK62" s="122">
        <f>+' HR Breakdown'!BI57*(1-Assumptions!$J122)</f>
        <v>0</v>
      </c>
      <c r="BL62" s="123">
        <f>+' HR Breakdown'!BJ57*(1-Assumptions!$J122)</f>
        <v>0</v>
      </c>
    </row>
    <row r="63" spans="2:64" s="341" customFormat="1" ht="25.95" customHeight="1" hidden="1" outlineLevel="3">
      <c r="B63" s="346">
        <f>+Assumptions!B123</f>
        <v>0</v>
      </c>
      <c r="C63" s="348"/>
      <c r="D63" s="1020">
        <f>+Assumptions!C123</f>
        <v>0</v>
      </c>
      <c r="E63" s="122">
        <f>+' HR Breakdown'!C58*(1-Assumptions!$J123)</f>
        <v>0</v>
      </c>
      <c r="F63" s="122">
        <f>+' HR Breakdown'!D58*(1-Assumptions!$J123)</f>
        <v>0</v>
      </c>
      <c r="G63" s="122">
        <f>+' HR Breakdown'!E58*(1-Assumptions!$J123)</f>
        <v>0</v>
      </c>
      <c r="H63" s="122">
        <f>+' HR Breakdown'!F58*(1-Assumptions!$J123)</f>
        <v>0</v>
      </c>
      <c r="I63" s="122">
        <f>+' HR Breakdown'!G58*(1-Assumptions!$J123)</f>
        <v>0</v>
      </c>
      <c r="J63" s="122">
        <f>+' HR Breakdown'!H58*(1-Assumptions!$J123)</f>
        <v>0</v>
      </c>
      <c r="K63" s="122">
        <f>+' HR Breakdown'!I58*(1-Assumptions!$J123)</f>
        <v>0</v>
      </c>
      <c r="L63" s="122">
        <f>+' HR Breakdown'!J58*(1-Assumptions!$J123)</f>
        <v>0</v>
      </c>
      <c r="M63" s="122">
        <f>+' HR Breakdown'!K58*(1-Assumptions!$J123)</f>
        <v>0</v>
      </c>
      <c r="N63" s="122">
        <f>+' HR Breakdown'!L58*(1-Assumptions!$J123)</f>
        <v>0</v>
      </c>
      <c r="O63" s="122">
        <f>+' HR Breakdown'!M58*(1-Assumptions!$J123)</f>
        <v>0</v>
      </c>
      <c r="P63" s="123">
        <f>+' HR Breakdown'!N58*(1-Assumptions!$J123)</f>
        <v>0</v>
      </c>
      <c r="Q63" s="121">
        <f>+' HR Breakdown'!O58*(1-Assumptions!$J123)</f>
        <v>0</v>
      </c>
      <c r="R63" s="122">
        <f>+' HR Breakdown'!P58*(1-Assumptions!$J123)</f>
        <v>0</v>
      </c>
      <c r="S63" s="122">
        <f>+' HR Breakdown'!Q58*(1-Assumptions!$J123)</f>
        <v>0</v>
      </c>
      <c r="T63" s="122">
        <f>+' HR Breakdown'!R58*(1-Assumptions!$J123)</f>
        <v>0</v>
      </c>
      <c r="U63" s="122">
        <f>+' HR Breakdown'!S58*(1-Assumptions!$J123)</f>
        <v>0</v>
      </c>
      <c r="V63" s="122">
        <f>+' HR Breakdown'!T58*(1-Assumptions!$J123)</f>
        <v>0</v>
      </c>
      <c r="W63" s="122">
        <f>+' HR Breakdown'!U58*(1-Assumptions!$J123)</f>
        <v>0</v>
      </c>
      <c r="X63" s="122">
        <f>+' HR Breakdown'!V58*(1-Assumptions!$J123)</f>
        <v>0</v>
      </c>
      <c r="Y63" s="122">
        <f>+' HR Breakdown'!W58*(1-Assumptions!$J123)</f>
        <v>0</v>
      </c>
      <c r="Z63" s="122">
        <f>+' HR Breakdown'!X58*(1-Assumptions!$J123)</f>
        <v>0</v>
      </c>
      <c r="AA63" s="122">
        <f>+' HR Breakdown'!Y58*(1-Assumptions!$J123)</f>
        <v>0</v>
      </c>
      <c r="AB63" s="123">
        <f>+' HR Breakdown'!Z58*(1-Assumptions!$J123)</f>
        <v>0</v>
      </c>
      <c r="AC63" s="121">
        <f>+' HR Breakdown'!AA58*(1-Assumptions!$J123)</f>
        <v>0</v>
      </c>
      <c r="AD63" s="122">
        <f>+' HR Breakdown'!AB58*(1-Assumptions!$J123)</f>
        <v>0</v>
      </c>
      <c r="AE63" s="122">
        <f>+' HR Breakdown'!AC58*(1-Assumptions!$J123)</f>
        <v>0</v>
      </c>
      <c r="AF63" s="122">
        <f>+' HR Breakdown'!AD58*(1-Assumptions!$J123)</f>
        <v>0</v>
      </c>
      <c r="AG63" s="122">
        <f>+' HR Breakdown'!AE58*(1-Assumptions!$J123)</f>
        <v>0</v>
      </c>
      <c r="AH63" s="122">
        <f>+' HR Breakdown'!AF58*(1-Assumptions!$J123)</f>
        <v>0</v>
      </c>
      <c r="AI63" s="122">
        <f>+' HR Breakdown'!AG58*(1-Assumptions!$J123)</f>
        <v>0</v>
      </c>
      <c r="AJ63" s="122">
        <f>+' HR Breakdown'!AH58*(1-Assumptions!$J123)</f>
        <v>0</v>
      </c>
      <c r="AK63" s="122">
        <f>+' HR Breakdown'!AI58*(1-Assumptions!$J123)</f>
        <v>0</v>
      </c>
      <c r="AL63" s="122">
        <f>+' HR Breakdown'!AJ58*(1-Assumptions!$J123)</f>
        <v>0</v>
      </c>
      <c r="AM63" s="122">
        <f>+' HR Breakdown'!AK58*(1-Assumptions!$J123)</f>
        <v>0</v>
      </c>
      <c r="AN63" s="123">
        <f>+' HR Breakdown'!AL58*(1-Assumptions!$J123)</f>
        <v>0</v>
      </c>
      <c r="AO63" s="121">
        <f>+' HR Breakdown'!AM58*(1-Assumptions!$J123)</f>
        <v>0</v>
      </c>
      <c r="AP63" s="122">
        <f>+' HR Breakdown'!AN58*(1-Assumptions!$J123)</f>
        <v>0</v>
      </c>
      <c r="AQ63" s="122">
        <f>+' HR Breakdown'!AO58*(1-Assumptions!$J123)</f>
        <v>0</v>
      </c>
      <c r="AR63" s="122">
        <f>+' HR Breakdown'!AP58*(1-Assumptions!$J123)</f>
        <v>0</v>
      </c>
      <c r="AS63" s="122">
        <f>+' HR Breakdown'!AQ58*(1-Assumptions!$J123)</f>
        <v>0</v>
      </c>
      <c r="AT63" s="122">
        <f>+' HR Breakdown'!AR58*(1-Assumptions!$J123)</f>
        <v>0</v>
      </c>
      <c r="AU63" s="122">
        <f>+' HR Breakdown'!AS58*(1-Assumptions!$J123)</f>
        <v>0</v>
      </c>
      <c r="AV63" s="122">
        <f>+' HR Breakdown'!AT58*(1-Assumptions!$J123)</f>
        <v>0</v>
      </c>
      <c r="AW63" s="122">
        <f>+' HR Breakdown'!AU58*(1-Assumptions!$J123)</f>
        <v>0</v>
      </c>
      <c r="AX63" s="122">
        <f>+' HR Breakdown'!AV58*(1-Assumptions!$J123)</f>
        <v>0</v>
      </c>
      <c r="AY63" s="122">
        <f>+' HR Breakdown'!AW58*(1-Assumptions!$J123)</f>
        <v>0</v>
      </c>
      <c r="AZ63" s="123">
        <f>+' HR Breakdown'!AX58*(1-Assumptions!$J123)</f>
        <v>0</v>
      </c>
      <c r="BA63" s="121">
        <f>+' HR Breakdown'!AY58*(1-Assumptions!$J123)</f>
        <v>0</v>
      </c>
      <c r="BB63" s="122">
        <f>+' HR Breakdown'!AZ58*(1-Assumptions!$J123)</f>
        <v>0</v>
      </c>
      <c r="BC63" s="122">
        <f>+' HR Breakdown'!BA58*(1-Assumptions!$J123)</f>
        <v>0</v>
      </c>
      <c r="BD63" s="122">
        <f>+' HR Breakdown'!BB58*(1-Assumptions!$J123)</f>
        <v>0</v>
      </c>
      <c r="BE63" s="122">
        <f>+' HR Breakdown'!BC58*(1-Assumptions!$J123)</f>
        <v>0</v>
      </c>
      <c r="BF63" s="122">
        <f>+' HR Breakdown'!BD58*(1-Assumptions!$J123)</f>
        <v>0</v>
      </c>
      <c r="BG63" s="122">
        <f>+' HR Breakdown'!BE58*(1-Assumptions!$J123)</f>
        <v>0</v>
      </c>
      <c r="BH63" s="122">
        <f>+' HR Breakdown'!BF58*(1-Assumptions!$J123)</f>
        <v>0</v>
      </c>
      <c r="BI63" s="122">
        <f>+' HR Breakdown'!BG58*(1-Assumptions!$J123)</f>
        <v>0</v>
      </c>
      <c r="BJ63" s="122">
        <f>+' HR Breakdown'!BH58*(1-Assumptions!$J123)</f>
        <v>0</v>
      </c>
      <c r="BK63" s="122">
        <f>+' HR Breakdown'!BI58*(1-Assumptions!$J123)</f>
        <v>0</v>
      </c>
      <c r="BL63" s="123">
        <f>+' HR Breakdown'!BJ58*(1-Assumptions!$J123)</f>
        <v>0</v>
      </c>
    </row>
    <row r="64" spans="2:64" s="341" customFormat="1" ht="25.95" customHeight="1" hidden="1" outlineLevel="3">
      <c r="B64" s="346">
        <f>+Assumptions!B124</f>
        <v>0</v>
      </c>
      <c r="C64" s="348"/>
      <c r="D64" s="1020">
        <f>+Assumptions!C124</f>
        <v>0</v>
      </c>
      <c r="E64" s="122">
        <f>+' HR Breakdown'!C59*(1-Assumptions!$J124)</f>
        <v>0</v>
      </c>
      <c r="F64" s="122">
        <f>+' HR Breakdown'!D59*(1-Assumptions!$J124)</f>
        <v>0</v>
      </c>
      <c r="G64" s="122">
        <f>+' HR Breakdown'!E59*(1-Assumptions!$J124)</f>
        <v>0</v>
      </c>
      <c r="H64" s="122">
        <f>+' HR Breakdown'!F59*(1-Assumptions!$J124)</f>
        <v>0</v>
      </c>
      <c r="I64" s="122">
        <f>+' HR Breakdown'!G59*(1-Assumptions!$J124)</f>
        <v>0</v>
      </c>
      <c r="J64" s="122">
        <f>+' HR Breakdown'!H59*(1-Assumptions!$J124)</f>
        <v>0</v>
      </c>
      <c r="K64" s="122">
        <f>+' HR Breakdown'!I59*(1-Assumptions!$J124)</f>
        <v>0</v>
      </c>
      <c r="L64" s="122">
        <f>+' HR Breakdown'!J59*(1-Assumptions!$J124)</f>
        <v>0</v>
      </c>
      <c r="M64" s="122">
        <f>+' HR Breakdown'!K59*(1-Assumptions!$J124)</f>
        <v>0</v>
      </c>
      <c r="N64" s="122">
        <f>+' HR Breakdown'!L59*(1-Assumptions!$J124)</f>
        <v>0</v>
      </c>
      <c r="O64" s="122">
        <f>+' HR Breakdown'!M59*(1-Assumptions!$J124)</f>
        <v>0</v>
      </c>
      <c r="P64" s="123">
        <f>+' HR Breakdown'!N59*(1-Assumptions!$J124)</f>
        <v>0</v>
      </c>
      <c r="Q64" s="121">
        <f>+' HR Breakdown'!O59*(1-Assumptions!$J124)</f>
        <v>0</v>
      </c>
      <c r="R64" s="122">
        <f>+' HR Breakdown'!P59*(1-Assumptions!$J124)</f>
        <v>0</v>
      </c>
      <c r="S64" s="122">
        <f>+' HR Breakdown'!Q59*(1-Assumptions!$J124)</f>
        <v>0</v>
      </c>
      <c r="T64" s="122">
        <f>+' HR Breakdown'!R59*(1-Assumptions!$J124)</f>
        <v>0</v>
      </c>
      <c r="U64" s="122">
        <f>+' HR Breakdown'!S59*(1-Assumptions!$J124)</f>
        <v>0</v>
      </c>
      <c r="V64" s="122">
        <f>+' HR Breakdown'!T59*(1-Assumptions!$J124)</f>
        <v>0</v>
      </c>
      <c r="W64" s="122">
        <f>+' HR Breakdown'!U59*(1-Assumptions!$J124)</f>
        <v>0</v>
      </c>
      <c r="X64" s="122">
        <f>+' HR Breakdown'!V59*(1-Assumptions!$J124)</f>
        <v>0</v>
      </c>
      <c r="Y64" s="122">
        <f>+' HR Breakdown'!W59*(1-Assumptions!$J124)</f>
        <v>0</v>
      </c>
      <c r="Z64" s="122">
        <f>+' HR Breakdown'!X59*(1-Assumptions!$J124)</f>
        <v>0</v>
      </c>
      <c r="AA64" s="122">
        <f>+' HR Breakdown'!Y59*(1-Assumptions!$J124)</f>
        <v>0</v>
      </c>
      <c r="AB64" s="123">
        <f>+' HR Breakdown'!Z59*(1-Assumptions!$J124)</f>
        <v>0</v>
      </c>
      <c r="AC64" s="121">
        <f>+' HR Breakdown'!AA59*(1-Assumptions!$J124)</f>
        <v>0</v>
      </c>
      <c r="AD64" s="122">
        <f>+' HR Breakdown'!AB59*(1-Assumptions!$J124)</f>
        <v>0</v>
      </c>
      <c r="AE64" s="122">
        <f>+' HR Breakdown'!AC59*(1-Assumptions!$J124)</f>
        <v>0</v>
      </c>
      <c r="AF64" s="122">
        <f>+' HR Breakdown'!AD59*(1-Assumptions!$J124)</f>
        <v>0</v>
      </c>
      <c r="AG64" s="122">
        <f>+' HR Breakdown'!AE59*(1-Assumptions!$J124)</f>
        <v>0</v>
      </c>
      <c r="AH64" s="122">
        <f>+' HR Breakdown'!AF59*(1-Assumptions!$J124)</f>
        <v>0</v>
      </c>
      <c r="AI64" s="122">
        <f>+' HR Breakdown'!AG59*(1-Assumptions!$J124)</f>
        <v>0</v>
      </c>
      <c r="AJ64" s="122">
        <f>+' HR Breakdown'!AH59*(1-Assumptions!$J124)</f>
        <v>0</v>
      </c>
      <c r="AK64" s="122">
        <f>+' HR Breakdown'!AI59*(1-Assumptions!$J124)</f>
        <v>0</v>
      </c>
      <c r="AL64" s="122">
        <f>+' HR Breakdown'!AJ59*(1-Assumptions!$J124)</f>
        <v>0</v>
      </c>
      <c r="AM64" s="122">
        <f>+' HR Breakdown'!AK59*(1-Assumptions!$J124)</f>
        <v>0</v>
      </c>
      <c r="AN64" s="123">
        <f>+' HR Breakdown'!AL59*(1-Assumptions!$J124)</f>
        <v>0</v>
      </c>
      <c r="AO64" s="121">
        <f>+' HR Breakdown'!AM59*(1-Assumptions!$J124)</f>
        <v>0</v>
      </c>
      <c r="AP64" s="122">
        <f>+' HR Breakdown'!AN59*(1-Assumptions!$J124)</f>
        <v>0</v>
      </c>
      <c r="AQ64" s="122">
        <f>+' HR Breakdown'!AO59*(1-Assumptions!$J124)</f>
        <v>0</v>
      </c>
      <c r="AR64" s="122">
        <f>+' HR Breakdown'!AP59*(1-Assumptions!$J124)</f>
        <v>0</v>
      </c>
      <c r="AS64" s="122">
        <f>+' HR Breakdown'!AQ59*(1-Assumptions!$J124)</f>
        <v>0</v>
      </c>
      <c r="AT64" s="122">
        <f>+' HR Breakdown'!AR59*(1-Assumptions!$J124)</f>
        <v>0</v>
      </c>
      <c r="AU64" s="122">
        <f>+' HR Breakdown'!AS59*(1-Assumptions!$J124)</f>
        <v>0</v>
      </c>
      <c r="AV64" s="122">
        <f>+' HR Breakdown'!AT59*(1-Assumptions!$J124)</f>
        <v>0</v>
      </c>
      <c r="AW64" s="122">
        <f>+' HR Breakdown'!AU59*(1-Assumptions!$J124)</f>
        <v>0</v>
      </c>
      <c r="AX64" s="122">
        <f>+' HR Breakdown'!AV59*(1-Assumptions!$J124)</f>
        <v>0</v>
      </c>
      <c r="AY64" s="122">
        <f>+' HR Breakdown'!AW59*(1-Assumptions!$J124)</f>
        <v>0</v>
      </c>
      <c r="AZ64" s="123">
        <f>+' HR Breakdown'!AX59*(1-Assumptions!$J124)</f>
        <v>0</v>
      </c>
      <c r="BA64" s="121">
        <f>+' HR Breakdown'!AY59*(1-Assumptions!$J124)</f>
        <v>0</v>
      </c>
      <c r="BB64" s="122">
        <f>+' HR Breakdown'!AZ59*(1-Assumptions!$J124)</f>
        <v>0</v>
      </c>
      <c r="BC64" s="122">
        <f>+' HR Breakdown'!BA59*(1-Assumptions!$J124)</f>
        <v>0</v>
      </c>
      <c r="BD64" s="122">
        <f>+' HR Breakdown'!BB59*(1-Assumptions!$J124)</f>
        <v>0</v>
      </c>
      <c r="BE64" s="122">
        <f>+' HR Breakdown'!BC59*(1-Assumptions!$J124)</f>
        <v>0</v>
      </c>
      <c r="BF64" s="122">
        <f>+' HR Breakdown'!BD59*(1-Assumptions!$J124)</f>
        <v>0</v>
      </c>
      <c r="BG64" s="122">
        <f>+' HR Breakdown'!BE59*(1-Assumptions!$J124)</f>
        <v>0</v>
      </c>
      <c r="BH64" s="122">
        <f>+' HR Breakdown'!BF59*(1-Assumptions!$J124)</f>
        <v>0</v>
      </c>
      <c r="BI64" s="122">
        <f>+' HR Breakdown'!BG59*(1-Assumptions!$J124)</f>
        <v>0</v>
      </c>
      <c r="BJ64" s="122">
        <f>+' HR Breakdown'!BH59*(1-Assumptions!$J124)</f>
        <v>0</v>
      </c>
      <c r="BK64" s="122">
        <f>+' HR Breakdown'!BI59*(1-Assumptions!$J124)</f>
        <v>0</v>
      </c>
      <c r="BL64" s="123">
        <f>+' HR Breakdown'!BJ59*(1-Assumptions!$J124)</f>
        <v>0</v>
      </c>
    </row>
    <row r="65" spans="2:64" s="341" customFormat="1" ht="25.95" customHeight="1" hidden="1" outlineLevel="3">
      <c r="B65" s="346">
        <f>+Assumptions!B125</f>
        <v>0</v>
      </c>
      <c r="C65" s="348"/>
      <c r="D65" s="1020">
        <f>+Assumptions!C125</f>
        <v>0</v>
      </c>
      <c r="E65" s="122">
        <f>+' HR Breakdown'!C60*(1-Assumptions!$J125)</f>
        <v>0</v>
      </c>
      <c r="F65" s="122">
        <f>+' HR Breakdown'!D60*(1-Assumptions!$J125)</f>
        <v>0</v>
      </c>
      <c r="G65" s="122">
        <f>+' HR Breakdown'!E60*(1-Assumptions!$J125)</f>
        <v>0</v>
      </c>
      <c r="H65" s="122">
        <f>+' HR Breakdown'!F60*(1-Assumptions!$J125)</f>
        <v>0</v>
      </c>
      <c r="I65" s="122">
        <f>+' HR Breakdown'!G60*(1-Assumptions!$J125)</f>
        <v>0</v>
      </c>
      <c r="J65" s="122">
        <f>+' HR Breakdown'!H60*(1-Assumptions!$J125)</f>
        <v>0</v>
      </c>
      <c r="K65" s="122">
        <f>+' HR Breakdown'!I60*(1-Assumptions!$J125)</f>
        <v>0</v>
      </c>
      <c r="L65" s="122">
        <f>+' HR Breakdown'!J60*(1-Assumptions!$J125)</f>
        <v>0</v>
      </c>
      <c r="M65" s="122">
        <f>+' HR Breakdown'!K60*(1-Assumptions!$J125)</f>
        <v>0</v>
      </c>
      <c r="N65" s="122">
        <f>+' HR Breakdown'!L60*(1-Assumptions!$J125)</f>
        <v>0</v>
      </c>
      <c r="O65" s="122">
        <f>+' HR Breakdown'!M60*(1-Assumptions!$J125)</f>
        <v>0</v>
      </c>
      <c r="P65" s="123">
        <f>+' HR Breakdown'!N60*(1-Assumptions!$J125)</f>
        <v>0</v>
      </c>
      <c r="Q65" s="121">
        <f>+' HR Breakdown'!O60*(1-Assumptions!$J125)</f>
        <v>0</v>
      </c>
      <c r="R65" s="122">
        <f>+' HR Breakdown'!P60*(1-Assumptions!$J125)</f>
        <v>0</v>
      </c>
      <c r="S65" s="122">
        <f>+' HR Breakdown'!Q60*(1-Assumptions!$J125)</f>
        <v>0</v>
      </c>
      <c r="T65" s="122">
        <f>+' HR Breakdown'!R60*(1-Assumptions!$J125)</f>
        <v>0</v>
      </c>
      <c r="U65" s="122">
        <f>+' HR Breakdown'!S60*(1-Assumptions!$J125)</f>
        <v>0</v>
      </c>
      <c r="V65" s="122">
        <f>+' HR Breakdown'!T60*(1-Assumptions!$J125)</f>
        <v>0</v>
      </c>
      <c r="W65" s="122">
        <f>+' HR Breakdown'!U60*(1-Assumptions!$J125)</f>
        <v>0</v>
      </c>
      <c r="X65" s="122">
        <f>+' HR Breakdown'!V60*(1-Assumptions!$J125)</f>
        <v>0</v>
      </c>
      <c r="Y65" s="122">
        <f>+' HR Breakdown'!W60*(1-Assumptions!$J125)</f>
        <v>0</v>
      </c>
      <c r="Z65" s="122">
        <f>+' HR Breakdown'!X60*(1-Assumptions!$J125)</f>
        <v>0</v>
      </c>
      <c r="AA65" s="122">
        <f>+' HR Breakdown'!Y60*(1-Assumptions!$J125)</f>
        <v>0</v>
      </c>
      <c r="AB65" s="123">
        <f>+' HR Breakdown'!Z60*(1-Assumptions!$J125)</f>
        <v>0</v>
      </c>
      <c r="AC65" s="121">
        <f>+' HR Breakdown'!AA60*(1-Assumptions!$J125)</f>
        <v>0</v>
      </c>
      <c r="AD65" s="122">
        <f>+' HR Breakdown'!AB60*(1-Assumptions!$J125)</f>
        <v>0</v>
      </c>
      <c r="AE65" s="122">
        <f>+' HR Breakdown'!AC60*(1-Assumptions!$J125)</f>
        <v>0</v>
      </c>
      <c r="AF65" s="122">
        <f>+' HR Breakdown'!AD60*(1-Assumptions!$J125)</f>
        <v>0</v>
      </c>
      <c r="AG65" s="122">
        <f>+' HR Breakdown'!AE60*(1-Assumptions!$J125)</f>
        <v>0</v>
      </c>
      <c r="AH65" s="122">
        <f>+' HR Breakdown'!AF60*(1-Assumptions!$J125)</f>
        <v>0</v>
      </c>
      <c r="AI65" s="122">
        <f>+' HR Breakdown'!AG60*(1-Assumptions!$J125)</f>
        <v>0</v>
      </c>
      <c r="AJ65" s="122">
        <f>+' HR Breakdown'!AH60*(1-Assumptions!$J125)</f>
        <v>0</v>
      </c>
      <c r="AK65" s="122">
        <f>+' HR Breakdown'!AI60*(1-Assumptions!$J125)</f>
        <v>0</v>
      </c>
      <c r="AL65" s="122">
        <f>+' HR Breakdown'!AJ60*(1-Assumptions!$J125)</f>
        <v>0</v>
      </c>
      <c r="AM65" s="122">
        <f>+' HR Breakdown'!AK60*(1-Assumptions!$J125)</f>
        <v>0</v>
      </c>
      <c r="AN65" s="123">
        <f>+' HR Breakdown'!AL60*(1-Assumptions!$J125)</f>
        <v>0</v>
      </c>
      <c r="AO65" s="121">
        <f>+' HR Breakdown'!AM60*(1-Assumptions!$J125)</f>
        <v>0</v>
      </c>
      <c r="AP65" s="122">
        <f>+' HR Breakdown'!AN60*(1-Assumptions!$J125)</f>
        <v>0</v>
      </c>
      <c r="AQ65" s="122">
        <f>+' HR Breakdown'!AO60*(1-Assumptions!$J125)</f>
        <v>0</v>
      </c>
      <c r="AR65" s="122">
        <f>+' HR Breakdown'!AP60*(1-Assumptions!$J125)</f>
        <v>0</v>
      </c>
      <c r="AS65" s="122">
        <f>+' HR Breakdown'!AQ60*(1-Assumptions!$J125)</f>
        <v>0</v>
      </c>
      <c r="AT65" s="122">
        <f>+' HR Breakdown'!AR60*(1-Assumptions!$J125)</f>
        <v>0</v>
      </c>
      <c r="AU65" s="122">
        <f>+' HR Breakdown'!AS60*(1-Assumptions!$J125)</f>
        <v>0</v>
      </c>
      <c r="AV65" s="122">
        <f>+' HR Breakdown'!AT60*(1-Assumptions!$J125)</f>
        <v>0</v>
      </c>
      <c r="AW65" s="122">
        <f>+' HR Breakdown'!AU60*(1-Assumptions!$J125)</f>
        <v>0</v>
      </c>
      <c r="AX65" s="122">
        <f>+' HR Breakdown'!AV60*(1-Assumptions!$J125)</f>
        <v>0</v>
      </c>
      <c r="AY65" s="122">
        <f>+' HR Breakdown'!AW60*(1-Assumptions!$J125)</f>
        <v>0</v>
      </c>
      <c r="AZ65" s="123">
        <f>+' HR Breakdown'!AX60*(1-Assumptions!$J125)</f>
        <v>0</v>
      </c>
      <c r="BA65" s="121">
        <f>+' HR Breakdown'!AY60*(1-Assumptions!$J125)</f>
        <v>0</v>
      </c>
      <c r="BB65" s="122">
        <f>+' HR Breakdown'!AZ60*(1-Assumptions!$J125)</f>
        <v>0</v>
      </c>
      <c r="BC65" s="122">
        <f>+' HR Breakdown'!BA60*(1-Assumptions!$J125)</f>
        <v>0</v>
      </c>
      <c r="BD65" s="122">
        <f>+' HR Breakdown'!BB60*(1-Assumptions!$J125)</f>
        <v>0</v>
      </c>
      <c r="BE65" s="122">
        <f>+' HR Breakdown'!BC60*(1-Assumptions!$J125)</f>
        <v>0</v>
      </c>
      <c r="BF65" s="122">
        <f>+' HR Breakdown'!BD60*(1-Assumptions!$J125)</f>
        <v>0</v>
      </c>
      <c r="BG65" s="122">
        <f>+' HR Breakdown'!BE60*(1-Assumptions!$J125)</f>
        <v>0</v>
      </c>
      <c r="BH65" s="122">
        <f>+' HR Breakdown'!BF60*(1-Assumptions!$J125)</f>
        <v>0</v>
      </c>
      <c r="BI65" s="122">
        <f>+' HR Breakdown'!BG60*(1-Assumptions!$J125)</f>
        <v>0</v>
      </c>
      <c r="BJ65" s="122">
        <f>+' HR Breakdown'!BH60*(1-Assumptions!$J125)</f>
        <v>0</v>
      </c>
      <c r="BK65" s="122">
        <f>+' HR Breakdown'!BI60*(1-Assumptions!$J125)</f>
        <v>0</v>
      </c>
      <c r="BL65" s="123">
        <f>+' HR Breakdown'!BJ60*(1-Assumptions!$J125)</f>
        <v>0</v>
      </c>
    </row>
    <row r="66" spans="2:64" s="341" customFormat="1" ht="15.75" outlineLevel="1">
      <c r="B66" s="1565"/>
      <c r="C66" s="1566"/>
      <c r="D66" s="1021"/>
      <c r="E66" s="343"/>
      <c r="F66" s="343"/>
      <c r="G66" s="343"/>
      <c r="H66" s="343"/>
      <c r="I66" s="343"/>
      <c r="J66" s="343"/>
      <c r="K66" s="343"/>
      <c r="L66" s="343"/>
      <c r="M66" s="343"/>
      <c r="N66" s="343"/>
      <c r="O66" s="343"/>
      <c r="P66" s="344"/>
      <c r="Q66" s="342"/>
      <c r="R66" s="343"/>
      <c r="S66" s="343"/>
      <c r="T66" s="343"/>
      <c r="U66" s="343"/>
      <c r="V66" s="343"/>
      <c r="W66" s="343"/>
      <c r="X66" s="343"/>
      <c r="Y66" s="343"/>
      <c r="Z66" s="343"/>
      <c r="AA66" s="343"/>
      <c r="AB66" s="344"/>
      <c r="AC66" s="342"/>
      <c r="AD66" s="343"/>
      <c r="AE66" s="343"/>
      <c r="AF66" s="343"/>
      <c r="AG66" s="343"/>
      <c r="AH66" s="343"/>
      <c r="AI66" s="343"/>
      <c r="AJ66" s="343"/>
      <c r="AK66" s="343"/>
      <c r="AL66" s="343"/>
      <c r="AM66" s="343"/>
      <c r="AN66" s="344"/>
      <c r="AO66" s="342"/>
      <c r="AP66" s="343"/>
      <c r="AQ66" s="343"/>
      <c r="AR66" s="343"/>
      <c r="AS66" s="343"/>
      <c r="AT66" s="343"/>
      <c r="AU66" s="343"/>
      <c r="AV66" s="343"/>
      <c r="AW66" s="343"/>
      <c r="AX66" s="343"/>
      <c r="AY66" s="343"/>
      <c r="AZ66" s="344"/>
      <c r="BA66" s="342"/>
      <c r="BB66" s="343"/>
      <c r="BC66" s="343"/>
      <c r="BD66" s="343"/>
      <c r="BE66" s="343"/>
      <c r="BF66" s="343"/>
      <c r="BG66" s="343"/>
      <c r="BH66" s="343"/>
      <c r="BI66" s="343"/>
      <c r="BJ66" s="343"/>
      <c r="BK66" s="343"/>
      <c r="BL66" s="344"/>
    </row>
    <row r="67" spans="2:64" s="341" customFormat="1" ht="15.75">
      <c r="B67" s="1563" t="s">
        <v>3</v>
      </c>
      <c r="C67" s="1564"/>
      <c r="D67" s="1019">
        <f>D5-D19-D12</f>
        <v>-8573</v>
      </c>
      <c r="E67" s="125">
        <f aca="true" t="shared" si="21" ref="E67:AI67">E5-E19-E12</f>
        <v>-4258.141331275723</v>
      </c>
      <c r="F67" s="125">
        <f t="shared" si="21"/>
        <v>-4258.141331275723</v>
      </c>
      <c r="G67" s="125">
        <f t="shared" si="21"/>
        <v>-3250.1925814814813</v>
      </c>
      <c r="H67" s="125">
        <f t="shared" si="21"/>
        <v>-3000.442222222222</v>
      </c>
      <c r="I67" s="125">
        <f t="shared" si="21"/>
        <v>-2249.8141703703704</v>
      </c>
      <c r="J67" s="125">
        <f t="shared" si="21"/>
        <v>-279.99417037037074</v>
      </c>
      <c r="K67" s="125">
        <f t="shared" si="21"/>
        <v>-1220.0487703703704</v>
      </c>
      <c r="L67" s="125">
        <f t="shared" si="21"/>
        <v>-1500.1287703703704</v>
      </c>
      <c r="M67" s="125">
        <f t="shared" si="21"/>
        <v>-7557.938271604939</v>
      </c>
      <c r="N67" s="125">
        <f t="shared" si="21"/>
        <v>-13751.880895061728</v>
      </c>
      <c r="O67" s="125">
        <f t="shared" si="21"/>
        <v>-11765.760895061729</v>
      </c>
      <c r="P67" s="126">
        <f t="shared" si="21"/>
        <v>-11536.850895061727</v>
      </c>
      <c r="Q67" s="124">
        <f t="shared" si="21"/>
        <v>-12592.815999999999</v>
      </c>
      <c r="R67" s="125">
        <f t="shared" si="21"/>
        <v>-9088.256</v>
      </c>
      <c r="S67" s="125">
        <f t="shared" si="21"/>
        <v>-7319.756000000003</v>
      </c>
      <c r="T67" s="125">
        <f t="shared" si="21"/>
        <v>-6651.796000000002</v>
      </c>
      <c r="U67" s="125">
        <f t="shared" si="21"/>
        <v>-5983.836000000003</v>
      </c>
      <c r="V67" s="125">
        <f t="shared" si="21"/>
        <v>-5138.3960000000025</v>
      </c>
      <c r="W67" s="125">
        <f t="shared" si="21"/>
        <v>-3453.8560000000034</v>
      </c>
      <c r="X67" s="125">
        <f t="shared" si="21"/>
        <v>-2744.9237500000017</v>
      </c>
      <c r="Y67" s="125">
        <f t="shared" si="21"/>
        <v>-1624.103750000002</v>
      </c>
      <c r="Z67" s="125">
        <f t="shared" si="21"/>
        <v>-749.0837500000052</v>
      </c>
      <c r="AA67" s="125">
        <f t="shared" si="21"/>
        <v>174.53624999999738</v>
      </c>
      <c r="AB67" s="126">
        <f t="shared" si="21"/>
        <v>1336.328499999996</v>
      </c>
      <c r="AC67" s="124">
        <f t="shared" si="21"/>
        <v>-4434.931645061719</v>
      </c>
      <c r="AD67" s="125">
        <f t="shared" si="21"/>
        <v>-3254.9516450617157</v>
      </c>
      <c r="AE67" s="125">
        <f t="shared" si="21"/>
        <v>-2014.979395061724</v>
      </c>
      <c r="AF67" s="125">
        <f t="shared" si="21"/>
        <v>-1002.6193950617235</v>
      </c>
      <c r="AG67" s="125">
        <f t="shared" si="21"/>
        <v>403.44060493828147</v>
      </c>
      <c r="AH67" s="125">
        <f t="shared" si="21"/>
        <v>1702.5728549382839</v>
      </c>
      <c r="AI67" s="125">
        <f t="shared" si="21"/>
        <v>3167.792854938285</v>
      </c>
      <c r="AJ67" s="125">
        <f aca="true" t="shared" si="22" ref="AJ67:BL67">AJ5-AJ19-AJ12</f>
        <v>4633.012854938279</v>
      </c>
      <c r="AK67" s="125">
        <f t="shared" si="22"/>
        <v>6385.005104938282</v>
      </c>
      <c r="AL67" s="125">
        <f t="shared" si="22"/>
        <v>7909.385104938279</v>
      </c>
      <c r="AM67" s="125">
        <f t="shared" si="22"/>
        <v>9905.645104938281</v>
      </c>
      <c r="AN67" s="126">
        <f t="shared" si="22"/>
        <v>11537.78510493828</v>
      </c>
      <c r="AO67" s="124">
        <f t="shared" si="22"/>
        <v>15984.113324074082</v>
      </c>
      <c r="AP67" s="125">
        <f t="shared" si="22"/>
        <v>18080.505574074086</v>
      </c>
      <c r="AQ67" s="125">
        <f t="shared" si="22"/>
        <v>20195.085574074088</v>
      </c>
      <c r="AR67" s="125">
        <f t="shared" si="22"/>
        <v>22732.94557407408</v>
      </c>
      <c r="AS67" s="125">
        <f t="shared" si="22"/>
        <v>25016.950074074084</v>
      </c>
      <c r="AT67" s="125">
        <f t="shared" si="22"/>
        <v>27652.850074074086</v>
      </c>
      <c r="AU67" s="125">
        <f t="shared" si="22"/>
        <v>35275.42407407409</v>
      </c>
      <c r="AV67" s="125">
        <f t="shared" si="22"/>
        <v>38108.656324074094</v>
      </c>
      <c r="AW67" s="125">
        <f t="shared" si="22"/>
        <v>41346.148574074075</v>
      </c>
      <c r="AX67" s="125">
        <f t="shared" si="22"/>
        <v>44552.52857407408</v>
      </c>
      <c r="AY67" s="125">
        <f t="shared" si="22"/>
        <v>47927.36082407409</v>
      </c>
      <c r="AZ67" s="126">
        <f t="shared" si="22"/>
        <v>51497.86082407409</v>
      </c>
      <c r="BA67" s="124">
        <f t="shared" si="22"/>
        <v>53407.21289012347</v>
      </c>
      <c r="BB67" s="125">
        <f t="shared" si="22"/>
        <v>57364.61739012346</v>
      </c>
      <c r="BC67" s="125">
        <f t="shared" si="22"/>
        <v>61751.39739012346</v>
      </c>
      <c r="BD67" s="125">
        <f t="shared" si="22"/>
        <v>66012.22964012346</v>
      </c>
      <c r="BE67" s="125">
        <f t="shared" si="22"/>
        <v>71248.07414012347</v>
      </c>
      <c r="BF67" s="125">
        <f t="shared" si="22"/>
        <v>76126.59414012346</v>
      </c>
      <c r="BG67" s="125">
        <f t="shared" si="22"/>
        <v>86538.42464012347</v>
      </c>
      <c r="BH67" s="125">
        <f t="shared" si="22"/>
        <v>92196.01689012346</v>
      </c>
      <c r="BI67" s="125">
        <f t="shared" si="22"/>
        <v>98225.35689012347</v>
      </c>
      <c r="BJ67" s="125">
        <f t="shared" si="22"/>
        <v>104662.02139012347</v>
      </c>
      <c r="BK67" s="125">
        <f t="shared" si="22"/>
        <v>111076.73364012346</v>
      </c>
      <c r="BL67" s="126">
        <f t="shared" si="22"/>
        <v>118385.77364012346</v>
      </c>
    </row>
    <row r="68" spans="2:64" s="303" customFormat="1" ht="15.75" outlineLevel="1">
      <c r="B68" s="1577" t="s">
        <v>24</v>
      </c>
      <c r="C68" s="1578"/>
      <c r="D68" s="1022">
        <f aca="true" t="shared" si="23" ref="D68:AI68">+D67/D5</f>
        <v>-0.3442557121631932</v>
      </c>
      <c r="E68" s="305" t="e">
        <f t="shared" si="23"/>
        <v>#DIV/0!</v>
      </c>
      <c r="F68" s="305" t="e">
        <f t="shared" si="23"/>
        <v>#DIV/0!</v>
      </c>
      <c r="G68" s="305" t="e">
        <f t="shared" si="23"/>
        <v>#DIV/0!</v>
      </c>
      <c r="H68" s="305" t="e">
        <f t="shared" si="23"/>
        <v>#DIV/0!</v>
      </c>
      <c r="I68" s="305" t="e">
        <f t="shared" si="23"/>
        <v>#DIV/0!</v>
      </c>
      <c r="J68" s="305">
        <f t="shared" si="23"/>
        <v>-0.0334521111553609</v>
      </c>
      <c r="K68" s="305">
        <f t="shared" si="23"/>
        <v>-0.43886646416200376</v>
      </c>
      <c r="L68" s="305" t="e">
        <f t="shared" si="23"/>
        <v>#DIV/0!</v>
      </c>
      <c r="M68" s="305" t="e">
        <f t="shared" si="23"/>
        <v>#DIV/0!</v>
      </c>
      <c r="N68" s="305">
        <f t="shared" si="23"/>
        <v>-0.8579509253723295</v>
      </c>
      <c r="O68" s="305">
        <f t="shared" si="23"/>
        <v>-0.6377538258723072</v>
      </c>
      <c r="P68" s="306">
        <f t="shared" si="23"/>
        <v>-0.6109406709505117</v>
      </c>
      <c r="Q68" s="304">
        <f t="shared" si="23"/>
        <v>-0.36349197552245693</v>
      </c>
      <c r="R68" s="305">
        <f t="shared" si="23"/>
        <v>-0.23542265050253858</v>
      </c>
      <c r="S68" s="305">
        <f t="shared" si="23"/>
        <v>-0.17916864933666232</v>
      </c>
      <c r="T68" s="305">
        <f t="shared" si="23"/>
        <v>-0.1594619552188714</v>
      </c>
      <c r="U68" s="305">
        <f t="shared" si="23"/>
        <v>-0.1405514163574013</v>
      </c>
      <c r="V68" s="305">
        <f t="shared" si="23"/>
        <v>-0.11781528866877614</v>
      </c>
      <c r="W68" s="305">
        <f t="shared" si="23"/>
        <v>-0.07048110358338101</v>
      </c>
      <c r="X68" s="305">
        <f t="shared" si="23"/>
        <v>-0.05499678174737346</v>
      </c>
      <c r="Y68" s="305">
        <f t="shared" si="23"/>
        <v>-0.03167090397201676</v>
      </c>
      <c r="Z68" s="305">
        <f t="shared" si="23"/>
        <v>-0.014308974343668394</v>
      </c>
      <c r="AA68" s="305">
        <f t="shared" si="23"/>
        <v>0.0032611026123106255</v>
      </c>
      <c r="AB68" s="306">
        <f t="shared" si="23"/>
        <v>0.024324634014261652</v>
      </c>
      <c r="AC68" s="304">
        <f t="shared" si="23"/>
        <v>-0.054112660941882516</v>
      </c>
      <c r="AD68" s="305">
        <f t="shared" si="23"/>
        <v>-0.039034106122919875</v>
      </c>
      <c r="AE68" s="305">
        <f t="shared" si="23"/>
        <v>-0.023724060977485154</v>
      </c>
      <c r="AF68" s="305">
        <f t="shared" si="23"/>
        <v>-0.011632125148638229</v>
      </c>
      <c r="AG68" s="305">
        <f t="shared" si="23"/>
        <v>0.004589559120612048</v>
      </c>
      <c r="AH68" s="305">
        <f t="shared" si="23"/>
        <v>0.019020902322358757</v>
      </c>
      <c r="AI68" s="305">
        <f t="shared" si="23"/>
        <v>0.03470389094003558</v>
      </c>
      <c r="AJ68" s="305">
        <f aca="true" t="shared" si="24" ref="AJ68:BL68">+AJ67/AJ5</f>
        <v>0.04979023896871492</v>
      </c>
      <c r="AK68" s="305">
        <f t="shared" si="24"/>
        <v>0.06709246200702744</v>
      </c>
      <c r="AL68" s="305">
        <f t="shared" si="24"/>
        <v>0.08154236439629246</v>
      </c>
      <c r="AM68" s="305">
        <f t="shared" si="24"/>
        <v>0.0996471092896975</v>
      </c>
      <c r="AN68" s="306">
        <f t="shared" si="24"/>
        <v>0.11378794893291762</v>
      </c>
      <c r="AO68" s="304">
        <f t="shared" si="24"/>
        <v>0.1147409227273681</v>
      </c>
      <c r="AP68" s="305">
        <f t="shared" si="24"/>
        <v>0.1274866378918339</v>
      </c>
      <c r="AQ68" s="305">
        <f t="shared" si="24"/>
        <v>0.13990094109100165</v>
      </c>
      <c r="AR68" s="305">
        <f t="shared" si="24"/>
        <v>0.15426520999420873</v>
      </c>
      <c r="AS68" s="305">
        <f t="shared" si="24"/>
        <v>0.16659530169328665</v>
      </c>
      <c r="AT68" s="305">
        <f t="shared" si="24"/>
        <v>0.180365063490269</v>
      </c>
      <c r="AU68" s="305">
        <f t="shared" si="24"/>
        <v>0.2090085858336489</v>
      </c>
      <c r="AV68" s="305">
        <f t="shared" si="24"/>
        <v>0.2212639886784677</v>
      </c>
      <c r="AW68" s="305">
        <f t="shared" si="24"/>
        <v>0.23479022973864916</v>
      </c>
      <c r="AX68" s="305">
        <f t="shared" si="24"/>
        <v>0.24761274882667997</v>
      </c>
      <c r="AY68" s="305">
        <f t="shared" si="24"/>
        <v>0.2604962001581602</v>
      </c>
      <c r="AZ68" s="306">
        <f t="shared" si="24"/>
        <v>0.2735829947775304</v>
      </c>
      <c r="BA68" s="304">
        <f t="shared" si="24"/>
        <v>0.22170664446906654</v>
      </c>
      <c r="BB68" s="305">
        <f t="shared" si="24"/>
        <v>0.23357442464176112</v>
      </c>
      <c r="BC68" s="305">
        <f t="shared" si="24"/>
        <v>0.2461935447724165</v>
      </c>
      <c r="BD68" s="305">
        <f t="shared" si="24"/>
        <v>0.25797996566619324</v>
      </c>
      <c r="BE68" s="305">
        <f t="shared" si="24"/>
        <v>0.2718100785518921</v>
      </c>
      <c r="BF68" s="305">
        <f t="shared" si="24"/>
        <v>0.2841133191498853</v>
      </c>
      <c r="BG68" s="305">
        <f t="shared" si="24"/>
        <v>0.3018549984486606</v>
      </c>
      <c r="BH68" s="305">
        <f t="shared" si="24"/>
        <v>0.3142274566231443</v>
      </c>
      <c r="BI68" s="305">
        <f t="shared" si="24"/>
        <v>0.3267693824609179</v>
      </c>
      <c r="BJ68" s="305">
        <f t="shared" si="24"/>
        <v>0.3395817682897994</v>
      </c>
      <c r="BK68" s="305">
        <f t="shared" si="24"/>
        <v>0.35168090206246894</v>
      </c>
      <c r="BL68" s="306">
        <f t="shared" si="24"/>
        <v>0.3648418002395131</v>
      </c>
    </row>
    <row r="69" spans="2:64" s="341" customFormat="1" ht="21" customHeight="1" outlineLevel="1">
      <c r="B69" s="1573" t="s">
        <v>235</v>
      </c>
      <c r="C69" s="1574"/>
      <c r="D69" s="1023">
        <v>17641</v>
      </c>
      <c r="E69" s="464">
        <f>+'D&amp;A'!E22+'D&amp;A'!E51</f>
        <v>1520.0833333333333</v>
      </c>
      <c r="F69" s="464">
        <f>+'D&amp;A'!F22+'D&amp;A'!F51</f>
        <v>1520.0833333333333</v>
      </c>
      <c r="G69" s="464">
        <f>+'D&amp;A'!G22+'D&amp;A'!G51</f>
        <v>1520.0833333333333</v>
      </c>
      <c r="H69" s="464">
        <f>+'D&amp;A'!H22+'D&amp;A'!H51</f>
        <v>1520.0833333333333</v>
      </c>
      <c r="I69" s="464">
        <f>+'D&amp;A'!I22+'D&amp;A'!I51</f>
        <v>1520.0833333333333</v>
      </c>
      <c r="J69" s="464">
        <f>+'D&amp;A'!J22+'D&amp;A'!J51</f>
        <v>1520.0833333333333</v>
      </c>
      <c r="K69" s="464">
        <f>+'D&amp;A'!K22+'D&amp;A'!K51</f>
        <v>1520.0833333333333</v>
      </c>
      <c r="L69" s="464">
        <f>+'D&amp;A'!L22+'D&amp;A'!L51</f>
        <v>1520.0833333333333</v>
      </c>
      <c r="M69" s="464">
        <f>+'D&amp;A'!M22+'D&amp;A'!M51</f>
        <v>1520.0833333333333</v>
      </c>
      <c r="N69" s="464">
        <f>+'D&amp;A'!N22+'D&amp;A'!N51</f>
        <v>1686.75</v>
      </c>
      <c r="O69" s="464">
        <f>+'D&amp;A'!O22+'D&amp;A'!O51</f>
        <v>1686.75</v>
      </c>
      <c r="P69" s="465">
        <f>+'D&amp;A'!P22+'D&amp;A'!P51</f>
        <v>1686.75</v>
      </c>
      <c r="Q69" s="463">
        <f>+'D&amp;A'!Q22+'D&amp;A'!Q51</f>
        <v>2124.999279835391</v>
      </c>
      <c r="R69" s="464">
        <f>+'D&amp;A'!R22+'D&amp;A'!R51</f>
        <v>2163.248559670782</v>
      </c>
      <c r="S69" s="464">
        <f>+'D&amp;A'!S22+'D&amp;A'!S51</f>
        <v>2201.497839506173</v>
      </c>
      <c r="T69" s="464">
        <f>+'D&amp;A'!T22+'D&amp;A'!T51</f>
        <v>2239.747119341564</v>
      </c>
      <c r="U69" s="464">
        <f>+'D&amp;A'!U22+'D&amp;A'!U51</f>
        <v>2277.996399176955</v>
      </c>
      <c r="V69" s="464">
        <f>+'D&amp;A'!V22+'D&amp;A'!V51</f>
        <v>2316.245679012346</v>
      </c>
      <c r="W69" s="464">
        <f>+'D&amp;A'!W22+'D&amp;A'!W51</f>
        <v>2354.4949588477366</v>
      </c>
      <c r="X69" s="464">
        <f>+'D&amp;A'!X22+'D&amp;A'!X51</f>
        <v>2392.744238683128</v>
      </c>
      <c r="Y69" s="464">
        <f>+'D&amp;A'!Y22+'D&amp;A'!Y51</f>
        <v>2430.9935185185186</v>
      </c>
      <c r="Z69" s="464">
        <f>+'D&amp;A'!Z22+'D&amp;A'!Z51</f>
        <v>2469.24279835391</v>
      </c>
      <c r="AA69" s="464">
        <f>+'D&amp;A'!AA22+'D&amp;A'!AA51</f>
        <v>2507.4920781893006</v>
      </c>
      <c r="AB69" s="465">
        <f>+'D&amp;A'!AB22+'D&amp;A'!AB51</f>
        <v>2545.741358024692</v>
      </c>
      <c r="AC69" s="463">
        <f>+'D&amp;A'!AC22+'D&amp;A'!AC51</f>
        <v>3205.5732510288067</v>
      </c>
      <c r="AD69" s="464">
        <f>+'D&amp;A'!AD22+'D&amp;A'!AD51</f>
        <v>3282.0718106995887</v>
      </c>
      <c r="AE69" s="464">
        <f>+'D&amp;A'!AE22+'D&amp;A'!AE51</f>
        <v>3358.5703703703707</v>
      </c>
      <c r="AF69" s="464">
        <f>+'D&amp;A'!AF22+'D&amp;A'!AF51</f>
        <v>3435.0689300411523</v>
      </c>
      <c r="AG69" s="464">
        <f>+'D&amp;A'!AG22+'D&amp;A'!AG51</f>
        <v>3511.5674897119343</v>
      </c>
      <c r="AH69" s="464">
        <f>+'D&amp;A'!AH22+'D&amp;A'!AH51</f>
        <v>3588.0660493827163</v>
      </c>
      <c r="AI69" s="464">
        <f>+'D&amp;A'!AI22+'D&amp;A'!AI51</f>
        <v>3664.5646090534983</v>
      </c>
      <c r="AJ69" s="464">
        <f>+'D&amp;A'!AJ22+'D&amp;A'!AJ51</f>
        <v>3741.0631687242803</v>
      </c>
      <c r="AK69" s="464">
        <f>+'D&amp;A'!AK22+'D&amp;A'!AK51</f>
        <v>3817.561728395062</v>
      </c>
      <c r="AL69" s="464">
        <f>+'D&amp;A'!AL22+'D&amp;A'!AL51</f>
        <v>3894.0602880658435</v>
      </c>
      <c r="AM69" s="464">
        <f>+'D&amp;A'!AM22+'D&amp;A'!AM51</f>
        <v>3970.5588477366255</v>
      </c>
      <c r="AN69" s="465">
        <f>+'D&amp;A'!AN22+'D&amp;A'!AN51</f>
        <v>4047.0574074074075</v>
      </c>
      <c r="AO69" s="463">
        <f>+'D&amp;A'!AO22+'D&amp;A'!AO51</f>
        <v>4890.222633744856</v>
      </c>
      <c r="AP69" s="464">
        <f>+'D&amp;A'!AP22+'D&amp;A'!AP51</f>
        <v>4966.721193415638</v>
      </c>
      <c r="AQ69" s="464">
        <f>+'D&amp;A'!AQ22+'D&amp;A'!AQ51</f>
        <v>5043.21975308642</v>
      </c>
      <c r="AR69" s="464">
        <f>+'D&amp;A'!AR22+'D&amp;A'!AR51</f>
        <v>5265.748312757201</v>
      </c>
      <c r="AS69" s="464">
        <f>+'D&amp;A'!AS22+'D&amp;A'!AS51</f>
        <v>5196.216872427983</v>
      </c>
      <c r="AT69" s="464">
        <f>+'D&amp;A'!AT22+'D&amp;A'!AT51</f>
        <v>5272.715432098765</v>
      </c>
      <c r="AU69" s="464">
        <f>+'D&amp;A'!AU22+'D&amp;A'!AU51</f>
        <v>5349.213991769546</v>
      </c>
      <c r="AV69" s="464">
        <f>+'D&amp;A'!AV22+'D&amp;A'!AV51</f>
        <v>5425.712551440328</v>
      </c>
      <c r="AW69" s="464">
        <f>+'D&amp;A'!AW22+'D&amp;A'!AW51</f>
        <v>5502.21111111111</v>
      </c>
      <c r="AX69" s="464">
        <f>+'D&amp;A'!AX22+'D&amp;A'!AX51</f>
        <v>5578.709670781892</v>
      </c>
      <c r="AY69" s="464">
        <f>+'D&amp;A'!AY22+'D&amp;A'!AY51</f>
        <v>5655.208230452674</v>
      </c>
      <c r="AZ69" s="465">
        <f>+'D&amp;A'!AZ22+'D&amp;A'!AZ51</f>
        <v>5731.706790123456</v>
      </c>
      <c r="BA69" s="463">
        <f>+'D&amp;A'!BA22+'D&amp;A'!BA51</f>
        <v>6591.538683127572</v>
      </c>
      <c r="BB69" s="464">
        <f>+'D&amp;A'!BB22+'D&amp;A'!BB51</f>
        <v>6668.037242798353</v>
      </c>
      <c r="BC69" s="464">
        <f>+'D&amp;A'!BC22+'D&amp;A'!BC51</f>
        <v>6744.535802469136</v>
      </c>
      <c r="BD69" s="464">
        <f>+'D&amp;A'!BD22+'D&amp;A'!BD51</f>
        <v>6821.034362139917</v>
      </c>
      <c r="BE69" s="464">
        <f>+'D&amp;A'!BE22+'D&amp;A'!BE51</f>
        <v>6897.5329218107</v>
      </c>
      <c r="BF69" s="464">
        <f>+'D&amp;A'!BF22+'D&amp;A'!BF51</f>
        <v>6974.031481481481</v>
      </c>
      <c r="BG69" s="464">
        <f>+'D&amp;A'!BG22+'D&amp;A'!BG51</f>
        <v>7050.530041152264</v>
      </c>
      <c r="BH69" s="464">
        <f>+'D&amp;A'!BH22+'D&amp;A'!BH51</f>
        <v>7127.028600823045</v>
      </c>
      <c r="BI69" s="464">
        <f>+'D&amp;A'!BI22+'D&amp;A'!BI51</f>
        <v>7203.527160493828</v>
      </c>
      <c r="BJ69" s="464">
        <f>+'D&amp;A'!BJ22+'D&amp;A'!BJ51</f>
        <v>7280.025720164609</v>
      </c>
      <c r="BK69" s="464">
        <f>+'D&amp;A'!BK22+'D&amp;A'!BK51</f>
        <v>7356.524279835392</v>
      </c>
      <c r="BL69" s="465">
        <f>+'D&amp;A'!BL22+'D&amp;A'!BL51</f>
        <v>7433.022839506173</v>
      </c>
    </row>
    <row r="70" spans="2:64" ht="21" customHeight="1" outlineLevel="1">
      <c r="B70" s="1575" t="s">
        <v>16</v>
      </c>
      <c r="C70" s="1576" t="s">
        <v>11</v>
      </c>
      <c r="D70" s="1024">
        <v>0</v>
      </c>
      <c r="E70" s="62">
        <v>0</v>
      </c>
      <c r="F70" s="62">
        <v>0</v>
      </c>
      <c r="G70" s="62">
        <v>0</v>
      </c>
      <c r="H70" s="62">
        <v>0</v>
      </c>
      <c r="I70" s="62">
        <v>0</v>
      </c>
      <c r="J70" s="62">
        <v>0</v>
      </c>
      <c r="K70" s="62">
        <v>0</v>
      </c>
      <c r="L70" s="62">
        <v>0</v>
      </c>
      <c r="M70" s="62">
        <v>0</v>
      </c>
      <c r="N70" s="62">
        <v>0</v>
      </c>
      <c r="O70" s="62">
        <v>0</v>
      </c>
      <c r="P70" s="64">
        <v>0</v>
      </c>
      <c r="Q70" s="72">
        <v>0</v>
      </c>
      <c r="R70" s="62">
        <v>0</v>
      </c>
      <c r="S70" s="62">
        <v>0</v>
      </c>
      <c r="T70" s="62">
        <v>0</v>
      </c>
      <c r="U70" s="62">
        <v>0</v>
      </c>
      <c r="V70" s="62">
        <v>0</v>
      </c>
      <c r="W70" s="62">
        <v>0</v>
      </c>
      <c r="X70" s="62">
        <v>0</v>
      </c>
      <c r="Y70" s="62">
        <v>0</v>
      </c>
      <c r="Z70" s="62">
        <v>0</v>
      </c>
      <c r="AA70" s="62">
        <v>0</v>
      </c>
      <c r="AB70" s="64">
        <v>0</v>
      </c>
      <c r="AC70" s="72">
        <v>0</v>
      </c>
      <c r="AD70" s="62">
        <v>0</v>
      </c>
      <c r="AE70" s="62">
        <v>0</v>
      </c>
      <c r="AF70" s="62">
        <v>0</v>
      </c>
      <c r="AG70" s="62">
        <v>0</v>
      </c>
      <c r="AH70" s="62">
        <v>0</v>
      </c>
      <c r="AI70" s="62">
        <v>0</v>
      </c>
      <c r="AJ70" s="62">
        <v>0</v>
      </c>
      <c r="AK70" s="62">
        <v>0</v>
      </c>
      <c r="AL70" s="62">
        <v>0</v>
      </c>
      <c r="AM70" s="62">
        <v>0</v>
      </c>
      <c r="AN70" s="64">
        <v>0</v>
      </c>
      <c r="AO70" s="72">
        <v>0</v>
      </c>
      <c r="AP70" s="62">
        <v>0</v>
      </c>
      <c r="AQ70" s="62">
        <v>0</v>
      </c>
      <c r="AR70" s="62">
        <v>0</v>
      </c>
      <c r="AS70" s="62">
        <v>0</v>
      </c>
      <c r="AT70" s="62">
        <v>0</v>
      </c>
      <c r="AU70" s="62">
        <v>0</v>
      </c>
      <c r="AV70" s="62">
        <v>0</v>
      </c>
      <c r="AW70" s="62">
        <v>0</v>
      </c>
      <c r="AX70" s="62">
        <v>0</v>
      </c>
      <c r="AY70" s="62">
        <v>0</v>
      </c>
      <c r="AZ70" s="64">
        <v>0</v>
      </c>
      <c r="BA70" s="72">
        <v>0</v>
      </c>
      <c r="BB70" s="62">
        <v>0</v>
      </c>
      <c r="BC70" s="62">
        <v>0</v>
      </c>
      <c r="BD70" s="62">
        <v>0</v>
      </c>
      <c r="BE70" s="62">
        <v>0</v>
      </c>
      <c r="BF70" s="62">
        <v>0</v>
      </c>
      <c r="BG70" s="62">
        <v>0</v>
      </c>
      <c r="BH70" s="62">
        <v>0</v>
      </c>
      <c r="BI70" s="62">
        <v>0</v>
      </c>
      <c r="BJ70" s="62">
        <v>0</v>
      </c>
      <c r="BK70" s="62">
        <v>0</v>
      </c>
      <c r="BL70" s="64">
        <v>0</v>
      </c>
    </row>
    <row r="71" spans="2:64" ht="21" customHeight="1" outlineLevel="1">
      <c r="B71" s="1575" t="s">
        <v>19</v>
      </c>
      <c r="C71" s="1576"/>
      <c r="D71" s="1023">
        <v>17153</v>
      </c>
      <c r="E71" s="1017">
        <v>0</v>
      </c>
      <c r="F71" s="464">
        <v>0</v>
      </c>
      <c r="G71" s="464">
        <v>0</v>
      </c>
      <c r="H71" s="464">
        <v>0</v>
      </c>
      <c r="I71" s="464">
        <v>0</v>
      </c>
      <c r="J71" s="464">
        <v>0</v>
      </c>
      <c r="K71" s="464">
        <v>0</v>
      </c>
      <c r="L71" s="464">
        <v>0</v>
      </c>
      <c r="M71" s="464">
        <v>0</v>
      </c>
      <c r="N71" s="464">
        <v>0</v>
      </c>
      <c r="O71" s="464">
        <v>0</v>
      </c>
      <c r="P71" s="866">
        <v>0</v>
      </c>
      <c r="Q71" s="463">
        <v>0</v>
      </c>
      <c r="R71" s="464">
        <v>0</v>
      </c>
      <c r="S71" s="464">
        <v>0</v>
      </c>
      <c r="T71" s="62">
        <v>0</v>
      </c>
      <c r="U71" s="62">
        <v>0</v>
      </c>
      <c r="V71" s="62">
        <v>0</v>
      </c>
      <c r="W71" s="62">
        <v>0</v>
      </c>
      <c r="X71" s="62">
        <v>0</v>
      </c>
      <c r="Y71" s="62">
        <v>0</v>
      </c>
      <c r="Z71" s="62">
        <v>0</v>
      </c>
      <c r="AA71" s="62">
        <v>0</v>
      </c>
      <c r="AB71" s="64">
        <v>0</v>
      </c>
      <c r="AC71" s="72">
        <v>0</v>
      </c>
      <c r="AD71" s="62">
        <v>0</v>
      </c>
      <c r="AE71" s="62">
        <v>0</v>
      </c>
      <c r="AF71" s="62">
        <v>0</v>
      </c>
      <c r="AG71" s="62">
        <v>0</v>
      </c>
      <c r="AH71" s="62">
        <v>0</v>
      </c>
      <c r="AI71" s="62">
        <v>0</v>
      </c>
      <c r="AJ71" s="62">
        <v>0</v>
      </c>
      <c r="AK71" s="62">
        <v>0</v>
      </c>
      <c r="AL71" s="62">
        <v>0</v>
      </c>
      <c r="AM71" s="62">
        <v>0</v>
      </c>
      <c r="AN71" s="64">
        <v>0</v>
      </c>
      <c r="AO71" s="72">
        <v>0</v>
      </c>
      <c r="AP71" s="62">
        <v>0</v>
      </c>
      <c r="AQ71" s="62">
        <v>0</v>
      </c>
      <c r="AR71" s="62">
        <v>0</v>
      </c>
      <c r="AS71" s="62">
        <v>0</v>
      </c>
      <c r="AT71" s="62">
        <v>0</v>
      </c>
      <c r="AU71" s="62">
        <v>0</v>
      </c>
      <c r="AV71" s="62">
        <v>0</v>
      </c>
      <c r="AW71" s="62">
        <v>0</v>
      </c>
      <c r="AX71" s="62">
        <v>0</v>
      </c>
      <c r="AY71" s="62">
        <v>0</v>
      </c>
      <c r="AZ71" s="64">
        <v>0</v>
      </c>
      <c r="BA71" s="72">
        <v>0</v>
      </c>
      <c r="BB71" s="62">
        <v>0</v>
      </c>
      <c r="BC71" s="62">
        <v>0</v>
      </c>
      <c r="BD71" s="62">
        <v>0</v>
      </c>
      <c r="BE71" s="62">
        <v>0</v>
      </c>
      <c r="BF71" s="62">
        <v>0</v>
      </c>
      <c r="BG71" s="62">
        <v>0</v>
      </c>
      <c r="BH71" s="62">
        <v>0</v>
      </c>
      <c r="BI71" s="62">
        <v>0</v>
      </c>
      <c r="BJ71" s="62">
        <v>0</v>
      </c>
      <c r="BK71" s="62">
        <v>0</v>
      </c>
      <c r="BL71" s="64">
        <v>0</v>
      </c>
    </row>
    <row r="72" spans="2:64" s="341" customFormat="1" ht="15.75">
      <c r="B72" s="1563" t="s">
        <v>14</v>
      </c>
      <c r="C72" s="1564"/>
      <c r="D72" s="1019">
        <f>+D67-D69+D70+D71</f>
        <v>-9061</v>
      </c>
      <c r="E72" s="125">
        <f aca="true" t="shared" si="25" ref="E72:BL72">+E67-E69+E70+E71</f>
        <v>-5778.224664609056</v>
      </c>
      <c r="F72" s="125">
        <f t="shared" si="25"/>
        <v>-5778.224664609056</v>
      </c>
      <c r="G72" s="125">
        <f t="shared" si="25"/>
        <v>-4770.275914814814</v>
      </c>
      <c r="H72" s="125">
        <f t="shared" si="25"/>
        <v>-4520.525555555555</v>
      </c>
      <c r="I72" s="125">
        <f t="shared" si="25"/>
        <v>-3769.8975037037035</v>
      </c>
      <c r="J72" s="125">
        <f t="shared" si="25"/>
        <v>-1800.077503703704</v>
      </c>
      <c r="K72" s="125">
        <f t="shared" si="25"/>
        <v>-2740.1321037037037</v>
      </c>
      <c r="L72" s="125">
        <f t="shared" si="25"/>
        <v>-3020.2121037037036</v>
      </c>
      <c r="M72" s="125">
        <f t="shared" si="25"/>
        <v>-9078.021604938273</v>
      </c>
      <c r="N72" s="125">
        <f t="shared" si="25"/>
        <v>-15438.630895061728</v>
      </c>
      <c r="O72" s="125">
        <f t="shared" si="25"/>
        <v>-13452.510895061729</v>
      </c>
      <c r="P72" s="126">
        <f t="shared" si="25"/>
        <v>-13223.600895061727</v>
      </c>
      <c r="Q72" s="124">
        <f>+Q67-Q69+Q70+Q71</f>
        <v>-14717.81527983539</v>
      </c>
      <c r="R72" s="125">
        <f t="shared" si="25"/>
        <v>-11251.504559670782</v>
      </c>
      <c r="S72" s="125">
        <f t="shared" si="25"/>
        <v>-9521.253839506177</v>
      </c>
      <c r="T72" s="125">
        <f t="shared" si="25"/>
        <v>-8891.543119341566</v>
      </c>
      <c r="U72" s="125">
        <f t="shared" si="25"/>
        <v>-8261.832399176958</v>
      </c>
      <c r="V72" s="125">
        <f t="shared" si="25"/>
        <v>-7454.6416790123485</v>
      </c>
      <c r="W72" s="125">
        <f t="shared" si="25"/>
        <v>-5808.35095884774</v>
      </c>
      <c r="X72" s="125">
        <f t="shared" si="25"/>
        <v>-5137.66798868313</v>
      </c>
      <c r="Y72" s="125">
        <f t="shared" si="25"/>
        <v>-4055.0972685185207</v>
      </c>
      <c r="Z72" s="125">
        <f t="shared" si="25"/>
        <v>-3218.3265483539153</v>
      </c>
      <c r="AA72" s="125">
        <f t="shared" si="25"/>
        <v>-2332.9558281893032</v>
      </c>
      <c r="AB72" s="126">
        <f t="shared" si="25"/>
        <v>-1209.412858024696</v>
      </c>
      <c r="AC72" s="124">
        <f t="shared" si="25"/>
        <v>-7640.504896090526</v>
      </c>
      <c r="AD72" s="125">
        <f t="shared" si="25"/>
        <v>-6537.023455761304</v>
      </c>
      <c r="AE72" s="125">
        <f t="shared" si="25"/>
        <v>-5373.549765432095</v>
      </c>
      <c r="AF72" s="125">
        <f t="shared" si="25"/>
        <v>-4437.688325102876</v>
      </c>
      <c r="AG72" s="125">
        <f t="shared" si="25"/>
        <v>-3108.126884773653</v>
      </c>
      <c r="AH72" s="125">
        <f t="shared" si="25"/>
        <v>-1885.4931944444324</v>
      </c>
      <c r="AI72" s="125">
        <f t="shared" si="25"/>
        <v>-496.7717541152133</v>
      </c>
      <c r="AJ72" s="125">
        <f t="shared" si="25"/>
        <v>891.9496862139986</v>
      </c>
      <c r="AK72" s="125">
        <f t="shared" si="25"/>
        <v>2567.44337654322</v>
      </c>
      <c r="AL72" s="125">
        <f t="shared" si="25"/>
        <v>4015.324816872436</v>
      </c>
      <c r="AM72" s="125">
        <f t="shared" si="25"/>
        <v>5935.086257201656</v>
      </c>
      <c r="AN72" s="126">
        <f t="shared" si="25"/>
        <v>7490.727697530873</v>
      </c>
      <c r="AO72" s="124">
        <f t="shared" si="25"/>
        <v>11093.890690329226</v>
      </c>
      <c r="AP72" s="125">
        <f t="shared" si="25"/>
        <v>13113.78438065845</v>
      </c>
      <c r="AQ72" s="125">
        <f t="shared" si="25"/>
        <v>15151.865820987668</v>
      </c>
      <c r="AR72" s="125">
        <f t="shared" si="25"/>
        <v>17467.19726131688</v>
      </c>
      <c r="AS72" s="125">
        <f t="shared" si="25"/>
        <v>19820.7332016461</v>
      </c>
      <c r="AT72" s="125">
        <f t="shared" si="25"/>
        <v>22380.13464197532</v>
      </c>
      <c r="AU72" s="125">
        <f t="shared" si="25"/>
        <v>29926.210082304548</v>
      </c>
      <c r="AV72" s="125">
        <f t="shared" si="25"/>
        <v>32682.943772633767</v>
      </c>
      <c r="AW72" s="125">
        <f t="shared" si="25"/>
        <v>35843.93746296297</v>
      </c>
      <c r="AX72" s="125">
        <f t="shared" si="25"/>
        <v>38973.81890329219</v>
      </c>
      <c r="AY72" s="125">
        <f t="shared" si="25"/>
        <v>42272.15259362142</v>
      </c>
      <c r="AZ72" s="126">
        <f t="shared" si="25"/>
        <v>45766.15403395063</v>
      </c>
      <c r="BA72" s="124">
        <f t="shared" si="25"/>
        <v>46815.6742069959</v>
      </c>
      <c r="BB72" s="125">
        <f t="shared" si="25"/>
        <v>50696.580147325105</v>
      </c>
      <c r="BC72" s="125">
        <f t="shared" si="25"/>
        <v>55006.86158765432</v>
      </c>
      <c r="BD72" s="125">
        <f t="shared" si="25"/>
        <v>59191.19527798355</v>
      </c>
      <c r="BE72" s="125">
        <f t="shared" si="25"/>
        <v>64350.54121831277</v>
      </c>
      <c r="BF72" s="125">
        <f t="shared" si="25"/>
        <v>69152.56265864198</v>
      </c>
      <c r="BG72" s="125">
        <f t="shared" si="25"/>
        <v>79487.89459897121</v>
      </c>
      <c r="BH72" s="125">
        <f t="shared" si="25"/>
        <v>85068.98828930041</v>
      </c>
      <c r="BI72" s="125">
        <f t="shared" si="25"/>
        <v>91021.82972962964</v>
      </c>
      <c r="BJ72" s="125">
        <f t="shared" si="25"/>
        <v>97381.99566995885</v>
      </c>
      <c r="BK72" s="125">
        <f t="shared" si="25"/>
        <v>103720.20936028808</v>
      </c>
      <c r="BL72" s="126">
        <f t="shared" si="25"/>
        <v>110952.75080061729</v>
      </c>
    </row>
    <row r="73" spans="2:64" s="341" customFormat="1" ht="21" customHeight="1" thickBot="1">
      <c r="B73" s="1569" t="s">
        <v>18</v>
      </c>
      <c r="C73" s="1570"/>
      <c r="D73" s="1025">
        <v>0</v>
      </c>
      <c r="E73" s="351">
        <f>+'Debt amortization'!O149</f>
        <v>0</v>
      </c>
      <c r="F73" s="351">
        <f>+'Debt amortization'!P149</f>
        <v>0</v>
      </c>
      <c r="G73" s="351">
        <f>+'Debt amortization'!Q149</f>
        <v>0</v>
      </c>
      <c r="H73" s="351">
        <f>+'Debt amortization'!R149</f>
        <v>0</v>
      </c>
      <c r="I73" s="351">
        <f>+'Debt amortization'!S149</f>
        <v>0</v>
      </c>
      <c r="J73" s="351">
        <f>+'Debt amortization'!T149</f>
        <v>5.166666666666667</v>
      </c>
      <c r="K73" s="351">
        <f>+'Debt amortization'!U149</f>
        <v>5.166666666666667</v>
      </c>
      <c r="L73" s="351">
        <f>+'Debt amortization'!V149</f>
        <v>5.166666666666667</v>
      </c>
      <c r="M73" s="351">
        <f>+'Debt amortization'!W149</f>
        <v>5.166666666666667</v>
      </c>
      <c r="N73" s="351">
        <f>+'Debt amortization'!X149</f>
        <v>5.166666666666667</v>
      </c>
      <c r="O73" s="351">
        <f>+'Debt amortization'!Y149</f>
        <v>5.166666666666667</v>
      </c>
      <c r="P73" s="352">
        <f>+'Debt amortization'!Z149</f>
        <v>5.166666666666667</v>
      </c>
      <c r="Q73" s="350">
        <f>+'Debt amortization'!AA149</f>
        <v>5.166666666666667</v>
      </c>
      <c r="R73" s="351">
        <f>+'Debt amortization'!AB149</f>
        <v>5.166666666666667</v>
      </c>
      <c r="S73" s="351">
        <f>+'Debt amortization'!AC149</f>
        <v>5.166666666666667</v>
      </c>
      <c r="T73" s="351">
        <f>+'Debt amortization'!AD149</f>
        <v>5.166666666666667</v>
      </c>
      <c r="U73" s="351">
        <f>+'Debt amortization'!AE149</f>
        <v>5.166666666666667</v>
      </c>
      <c r="V73" s="351">
        <f>+'Debt amortization'!AF149</f>
        <v>5.166666666666667</v>
      </c>
      <c r="W73" s="351">
        <f>+'Debt amortization'!AG149</f>
        <v>5.166666666666667</v>
      </c>
      <c r="X73" s="351">
        <f>+'Debt amortization'!AH149</f>
        <v>5.166666666666667</v>
      </c>
      <c r="Y73" s="351">
        <f>+'Debt amortization'!AI149</f>
        <v>5.166666666666667</v>
      </c>
      <c r="Z73" s="351">
        <f>+'Debt amortization'!AJ149</f>
        <v>5.166666666666667</v>
      </c>
      <c r="AA73" s="351">
        <f>+'Debt amortization'!AK149</f>
        <v>5.166666666666667</v>
      </c>
      <c r="AB73" s="352">
        <f>+'Debt amortization'!AL149</f>
        <v>5.166666666666667</v>
      </c>
      <c r="AC73" s="350">
        <f>+'Debt amortization'!AM149</f>
        <v>5.166666666666667</v>
      </c>
      <c r="AD73" s="351">
        <f>+'Debt amortization'!AN149</f>
        <v>5.166666666666667</v>
      </c>
      <c r="AE73" s="351">
        <f>+'Debt amortization'!AO149</f>
        <v>5.166666666666667</v>
      </c>
      <c r="AF73" s="351">
        <f>+'Debt amortization'!AP149</f>
        <v>5.166666666666667</v>
      </c>
      <c r="AG73" s="351">
        <f>+'Debt amortization'!AQ149</f>
        <v>5.166666666666667</v>
      </c>
      <c r="AH73" s="351">
        <f>+'Debt amortization'!AR149</f>
        <v>5.166666666666667</v>
      </c>
      <c r="AI73" s="351">
        <f>+'Debt amortization'!AS149</f>
        <v>5.061121366752016</v>
      </c>
      <c r="AJ73" s="351">
        <f>+'Debt amortization'!AT149</f>
        <v>4.955488112420771</v>
      </c>
      <c r="AK73" s="351">
        <f>+'Debt amortization'!AU149</f>
        <v>4.8497668303775825</v>
      </c>
      <c r="AL73" s="351">
        <f>+'Debt amortization'!AV149</f>
        <v>4.743957447266025</v>
      </c>
      <c r="AM73" s="351">
        <f>+'Debt amortization'!AW149</f>
        <v>4.6380598896685425</v>
      </c>
      <c r="AN73" s="352">
        <f>+'Debt amortization'!AX149</f>
        <v>4.532074084106394</v>
      </c>
      <c r="AO73" s="350">
        <f>+'Debt amortization'!AY149</f>
        <v>4.425999957039609</v>
      </c>
      <c r="AP73" s="351">
        <f>+'Debt amortization'!AZ149</f>
        <v>4.319837434866937</v>
      </c>
      <c r="AQ73" s="351">
        <f>+'Debt amortization'!BA149</f>
        <v>4.213586443925787</v>
      </c>
      <c r="AR73" s="351">
        <f>+'Debt amortization'!BB149</f>
        <v>4.107246910492186</v>
      </c>
      <c r="AS73" s="351">
        <f>+'Debt amortization'!BC149</f>
        <v>4.000818760780724</v>
      </c>
      <c r="AT73" s="351">
        <f>+'Debt amortization'!BD149</f>
        <v>3.8943019209445033</v>
      </c>
      <c r="AU73" s="351">
        <f>+'Debt amortization'!BE149</f>
        <v>3.787696317075085</v>
      </c>
      <c r="AV73" s="351">
        <f>+'Debt amortization'!BF149</f>
        <v>3.681001875202442</v>
      </c>
      <c r="AW73" s="351">
        <f>+'Debt amortization'!BG149</f>
        <v>3.5742185212949056</v>
      </c>
      <c r="AX73" s="351">
        <f>+'Debt amortization'!BH149</f>
        <v>3.4673461812591118</v>
      </c>
      <c r="AY73" s="351">
        <f>+'Debt amortization'!BI149</f>
        <v>3.360384780939955</v>
      </c>
      <c r="AZ73" s="352">
        <f>+'Debt amortization'!BJ149</f>
        <v>3.253334246120533</v>
      </c>
      <c r="BA73" s="350">
        <f>+'Debt amortization'!BK149</f>
        <v>3.1461945025220945</v>
      </c>
      <c r="BB73" s="351">
        <f>+'Debt amortization'!BL149</f>
        <v>3.03896547580399</v>
      </c>
      <c r="BC73" s="351">
        <f>+'Debt amortization'!BM149</f>
        <v>2.931647091563622</v>
      </c>
      <c r="BD73" s="351">
        <f>+'Debt amortization'!BN149</f>
        <v>2.824239275336386</v>
      </c>
      <c r="BE73" s="351">
        <f>+'Debt amortization'!BO149</f>
        <v>2.7167419525956276</v>
      </c>
      <c r="BF73" s="351">
        <f>+'Debt amortization'!BP149</f>
        <v>2.609155048752585</v>
      </c>
      <c r="BG73" s="351">
        <f>+'Debt amortization'!BQ149</f>
        <v>2.50147848915634</v>
      </c>
      <c r="BH73" s="351">
        <f>+'Debt amortization'!BR149</f>
        <v>2.3937121990937644</v>
      </c>
      <c r="BI73" s="351">
        <f>+'Debt amortization'!BS149</f>
        <v>2.2858561037894707</v>
      </c>
      <c r="BJ73" s="351">
        <f>+'Debt amortization'!BT149</f>
        <v>2.177910128405756</v>
      </c>
      <c r="BK73" s="351">
        <f>+'Debt amortization'!BU149</f>
        <v>2.0698741980425552</v>
      </c>
      <c r="BL73" s="352">
        <f>+'Debt amortization'!BV149</f>
        <v>1.9617482377373856</v>
      </c>
    </row>
    <row r="74" spans="2:64" s="341" customFormat="1" ht="16.2" thickBot="1">
      <c r="B74" s="1571" t="s">
        <v>15</v>
      </c>
      <c r="C74" s="1572"/>
      <c r="D74" s="1026">
        <f>+D72-D73</f>
        <v>-9061</v>
      </c>
      <c r="E74" s="354">
        <f>+E72-E73</f>
        <v>-5778.224664609056</v>
      </c>
      <c r="F74" s="354">
        <f>+F72-F73</f>
        <v>-5778.224664609056</v>
      </c>
      <c r="G74" s="354">
        <f aca="true" t="shared" si="26" ref="G74:S74">+G72-G73</f>
        <v>-4770.275914814814</v>
      </c>
      <c r="H74" s="354">
        <f t="shared" si="26"/>
        <v>-4520.525555555555</v>
      </c>
      <c r="I74" s="354">
        <f t="shared" si="26"/>
        <v>-3769.8975037037035</v>
      </c>
      <c r="J74" s="354">
        <f t="shared" si="26"/>
        <v>-1805.2441703703707</v>
      </c>
      <c r="K74" s="354">
        <f t="shared" si="26"/>
        <v>-2745.29877037037</v>
      </c>
      <c r="L74" s="354">
        <f t="shared" si="26"/>
        <v>-3025.37877037037</v>
      </c>
      <c r="M74" s="354">
        <f t="shared" si="26"/>
        <v>-9083.188271604939</v>
      </c>
      <c r="N74" s="354">
        <f t="shared" si="26"/>
        <v>-15443.797561728394</v>
      </c>
      <c r="O74" s="354">
        <f t="shared" si="26"/>
        <v>-13457.677561728395</v>
      </c>
      <c r="P74" s="355">
        <f t="shared" si="26"/>
        <v>-13228.767561728393</v>
      </c>
      <c r="Q74" s="353">
        <f>+Q72-Q73</f>
        <v>-14722.981946502056</v>
      </c>
      <c r="R74" s="354">
        <f t="shared" si="26"/>
        <v>-11256.671226337448</v>
      </c>
      <c r="S74" s="354">
        <f t="shared" si="26"/>
        <v>-9526.420506172843</v>
      </c>
      <c r="T74" s="354">
        <f aca="true" t="shared" si="27" ref="T74:AE74">+T72-T73</f>
        <v>-8896.709786008232</v>
      </c>
      <c r="U74" s="354">
        <f t="shared" si="27"/>
        <v>-8266.999065843624</v>
      </c>
      <c r="V74" s="354">
        <f t="shared" si="27"/>
        <v>-7459.8083456790155</v>
      </c>
      <c r="W74" s="354">
        <f t="shared" si="27"/>
        <v>-5813.517625514407</v>
      </c>
      <c r="X74" s="354">
        <f t="shared" si="27"/>
        <v>-5142.834655349797</v>
      </c>
      <c r="Y74" s="354">
        <f t="shared" si="27"/>
        <v>-4060.263935185187</v>
      </c>
      <c r="Z74" s="354">
        <f t="shared" si="27"/>
        <v>-3223.493215020582</v>
      </c>
      <c r="AA74" s="354">
        <f t="shared" si="27"/>
        <v>-2338.1224948559698</v>
      </c>
      <c r="AB74" s="355">
        <f t="shared" si="27"/>
        <v>-1214.5795246913628</v>
      </c>
      <c r="AC74" s="353">
        <f t="shared" si="27"/>
        <v>-7645.671562757193</v>
      </c>
      <c r="AD74" s="354">
        <f t="shared" si="27"/>
        <v>-6542.190122427971</v>
      </c>
      <c r="AE74" s="354">
        <f t="shared" si="27"/>
        <v>-5378.716432098762</v>
      </c>
      <c r="AF74" s="354">
        <f aca="true" t="shared" si="28" ref="AF74:AQ74">+AF72-AF73</f>
        <v>-4442.854991769543</v>
      </c>
      <c r="AG74" s="354">
        <f t="shared" si="28"/>
        <v>-3113.2935514403193</v>
      </c>
      <c r="AH74" s="354">
        <f t="shared" si="28"/>
        <v>-1890.6598611110992</v>
      </c>
      <c r="AI74" s="354">
        <f t="shared" si="28"/>
        <v>-501.8328754819653</v>
      </c>
      <c r="AJ74" s="354">
        <f t="shared" si="28"/>
        <v>886.9941981015778</v>
      </c>
      <c r="AK74" s="354">
        <f t="shared" si="28"/>
        <v>2562.5936097128424</v>
      </c>
      <c r="AL74" s="354">
        <f t="shared" si="28"/>
        <v>4010.58085942517</v>
      </c>
      <c r="AM74" s="354">
        <f t="shared" si="28"/>
        <v>5930.448197311987</v>
      </c>
      <c r="AN74" s="355">
        <f t="shared" si="28"/>
        <v>7486.195623446767</v>
      </c>
      <c r="AO74" s="353">
        <f t="shared" si="28"/>
        <v>11089.464690372186</v>
      </c>
      <c r="AP74" s="354">
        <f t="shared" si="28"/>
        <v>13109.464543223583</v>
      </c>
      <c r="AQ74" s="354">
        <f t="shared" si="28"/>
        <v>15147.652234543742</v>
      </c>
      <c r="AR74" s="354">
        <f aca="true" t="shared" si="29" ref="AR74:BC74">+AR72-AR73</f>
        <v>17463.09001440639</v>
      </c>
      <c r="AS74" s="354">
        <f t="shared" si="29"/>
        <v>19816.73238288532</v>
      </c>
      <c r="AT74" s="354">
        <f t="shared" si="29"/>
        <v>22376.240340054377</v>
      </c>
      <c r="AU74" s="354">
        <f t="shared" si="29"/>
        <v>29922.422385987473</v>
      </c>
      <c r="AV74" s="354">
        <f>+AV72-AV73</f>
        <v>32679.262770758563</v>
      </c>
      <c r="AW74" s="354">
        <f t="shared" si="29"/>
        <v>35840.36324444167</v>
      </c>
      <c r="AX74" s="354">
        <f t="shared" si="29"/>
        <v>38970.35155711093</v>
      </c>
      <c r="AY74" s="354">
        <f t="shared" si="29"/>
        <v>42268.792208840474</v>
      </c>
      <c r="AZ74" s="355">
        <f>+AZ72-AZ73</f>
        <v>45762.900699704514</v>
      </c>
      <c r="BA74" s="353">
        <f t="shared" si="29"/>
        <v>46812.52801249338</v>
      </c>
      <c r="BB74" s="354">
        <f t="shared" si="29"/>
        <v>50693.5411818493</v>
      </c>
      <c r="BC74" s="354">
        <f t="shared" si="29"/>
        <v>55003.92994056275</v>
      </c>
      <c r="BD74" s="354">
        <f aca="true" t="shared" si="30" ref="BD74:BL74">+BD72-BD73</f>
        <v>59188.37103870821</v>
      </c>
      <c r="BE74" s="354">
        <f t="shared" si="30"/>
        <v>64347.824476360176</v>
      </c>
      <c r="BF74" s="354">
        <f t="shared" si="30"/>
        <v>69149.95350359323</v>
      </c>
      <c r="BG74" s="354">
        <f t="shared" si="30"/>
        <v>79485.39312048205</v>
      </c>
      <c r="BH74" s="354">
        <f t="shared" si="30"/>
        <v>85066.59457710132</v>
      </c>
      <c r="BI74" s="354">
        <f t="shared" si="30"/>
        <v>91019.54387352585</v>
      </c>
      <c r="BJ74" s="354">
        <f t="shared" si="30"/>
        <v>97379.81775983045</v>
      </c>
      <c r="BK74" s="354">
        <f t="shared" si="30"/>
        <v>103718.13948609003</v>
      </c>
      <c r="BL74" s="355">
        <f t="shared" si="30"/>
        <v>110950.78905237955</v>
      </c>
    </row>
    <row r="75" spans="2:3" s="6" customFormat="1" ht="15.75">
      <c r="B75" s="1562"/>
      <c r="C75" s="1562"/>
    </row>
    <row r="76" ht="25.05" customHeight="1"/>
  </sheetData>
  <sheetProtection algorithmName="SHA-512" hashValue="64TsimhW4vF7ROFnbD0l3frnT3ojSKSSTWX49d3h1BJYkhDyjutN7cFLIfAIpIFyXNSRPOqI3QOCi2V+llikwg==" saltValue="iPc4cFuTr+jaZAN6LzoPMQ==" spinCount="100000" sheet="1" objects="1" scenarios="1"/>
  <mergeCells count="33">
    <mergeCell ref="BA2:BL3"/>
    <mergeCell ref="AC2:AN3"/>
    <mergeCell ref="AO2:AZ3"/>
    <mergeCell ref="Q2:AB3"/>
    <mergeCell ref="B40:C40"/>
    <mergeCell ref="B41:C41"/>
    <mergeCell ref="B38:C38"/>
    <mergeCell ref="B43:C43"/>
    <mergeCell ref="E2:P3"/>
    <mergeCell ref="B27:C27"/>
    <mergeCell ref="B19:C19"/>
    <mergeCell ref="B2:C4"/>
    <mergeCell ref="B5:C5"/>
    <mergeCell ref="B20:C20"/>
    <mergeCell ref="B12:C12"/>
    <mergeCell ref="D2:D3"/>
    <mergeCell ref="B42:C42"/>
    <mergeCell ref="B75:C75"/>
    <mergeCell ref="B67:C67"/>
    <mergeCell ref="B32:C32"/>
    <mergeCell ref="B33:C33"/>
    <mergeCell ref="B35:C35"/>
    <mergeCell ref="B36:C36"/>
    <mergeCell ref="B37:C37"/>
    <mergeCell ref="B39:C39"/>
    <mergeCell ref="B73:C73"/>
    <mergeCell ref="B74:C74"/>
    <mergeCell ref="B69:C69"/>
    <mergeCell ref="B72:C72"/>
    <mergeCell ref="B70:C70"/>
    <mergeCell ref="B71:C71"/>
    <mergeCell ref="B66:C66"/>
    <mergeCell ref="B68:C68"/>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N37"/>
  <sheetViews>
    <sheetView zoomScale="44" zoomScaleNormal="44" zoomScalePageLayoutView="108" workbookViewId="0" topLeftCell="A1">
      <pane xSplit="3" ySplit="4" topLeftCell="D5" activePane="bottomRight" state="frozen"/>
      <selection pane="topRight" activeCell="D1" sqref="D1"/>
      <selection pane="bottomLeft" activeCell="A5" sqref="A5"/>
      <selection pane="bottomRight" activeCell="P37" sqref="P37"/>
    </sheetView>
  </sheetViews>
  <sheetFormatPr defaultColWidth="10.75390625" defaultRowHeight="15.75"/>
  <cols>
    <col min="1" max="1" width="2.25390625" style="61" customWidth="1"/>
    <col min="2" max="2" width="47.25390625" style="59" customWidth="1"/>
    <col min="3" max="3" width="12.75390625" style="60" customWidth="1"/>
    <col min="4" max="4" width="16.75390625" style="61" customWidth="1"/>
    <col min="5" max="10" width="12.75390625" style="61" customWidth="1"/>
    <col min="11" max="11" width="13.25390625" style="61" customWidth="1"/>
    <col min="12" max="25" width="12.75390625" style="61" customWidth="1"/>
    <col min="26" max="26" width="14.75390625" style="61" bestFit="1" customWidth="1"/>
    <col min="27" max="52" width="12.75390625" style="61" customWidth="1"/>
    <col min="53" max="64" width="14.25390625" style="61" customWidth="1"/>
    <col min="65" max="16384" width="10.75390625" style="61" customWidth="1"/>
  </cols>
  <sheetData>
    <row r="1" spans="14:52" ht="25.05" customHeight="1" thickBot="1">
      <c r="N1" s="6"/>
      <c r="O1" s="6"/>
      <c r="P1" s="6"/>
      <c r="Q1" s="6"/>
      <c r="R1" s="6"/>
      <c r="S1" s="6"/>
      <c r="Z1" s="6"/>
      <c r="AA1" s="6"/>
      <c r="AB1" s="6"/>
      <c r="AC1" s="6"/>
      <c r="AD1" s="6"/>
      <c r="AE1" s="6"/>
      <c r="AL1" s="6"/>
      <c r="AM1" s="6"/>
      <c r="AN1" s="6"/>
      <c r="AO1" s="6"/>
      <c r="AP1" s="6"/>
      <c r="AQ1" s="6"/>
      <c r="AX1" s="6"/>
      <c r="AY1" s="6"/>
      <c r="AZ1" s="6"/>
    </row>
    <row r="2" spans="2:64" s="268" customFormat="1" ht="19.95" customHeight="1">
      <c r="B2" s="1583" t="s">
        <v>199</v>
      </c>
      <c r="C2" s="1584"/>
      <c r="D2" s="1580">
        <f>+Assumptions!C3</f>
        <v>2019</v>
      </c>
      <c r="E2" s="1595">
        <f>1+D2</f>
        <v>2020</v>
      </c>
      <c r="F2" s="1579"/>
      <c r="G2" s="1579"/>
      <c r="H2" s="1579"/>
      <c r="I2" s="1579"/>
      <c r="J2" s="1579"/>
      <c r="K2" s="1579"/>
      <c r="L2" s="1579"/>
      <c r="M2" s="1579"/>
      <c r="N2" s="1579"/>
      <c r="O2" s="1579"/>
      <c r="P2" s="1580"/>
      <c r="Q2" s="1595">
        <f>1+E2</f>
        <v>2021</v>
      </c>
      <c r="R2" s="1579"/>
      <c r="S2" s="1579"/>
      <c r="T2" s="1579"/>
      <c r="U2" s="1579"/>
      <c r="V2" s="1579"/>
      <c r="W2" s="1579"/>
      <c r="X2" s="1579"/>
      <c r="Y2" s="1579"/>
      <c r="Z2" s="1579"/>
      <c r="AA2" s="1579"/>
      <c r="AB2" s="1580"/>
      <c r="AC2" s="1595">
        <f>1+Q2</f>
        <v>2022</v>
      </c>
      <c r="AD2" s="1579"/>
      <c r="AE2" s="1579"/>
      <c r="AF2" s="1579"/>
      <c r="AG2" s="1579"/>
      <c r="AH2" s="1579"/>
      <c r="AI2" s="1579"/>
      <c r="AJ2" s="1579"/>
      <c r="AK2" s="1579"/>
      <c r="AL2" s="1579"/>
      <c r="AM2" s="1579"/>
      <c r="AN2" s="1580"/>
      <c r="AO2" s="1595">
        <f>1+AC2</f>
        <v>2023</v>
      </c>
      <c r="AP2" s="1579"/>
      <c r="AQ2" s="1579"/>
      <c r="AR2" s="1579"/>
      <c r="AS2" s="1579"/>
      <c r="AT2" s="1579"/>
      <c r="AU2" s="1579"/>
      <c r="AV2" s="1579"/>
      <c r="AW2" s="1579"/>
      <c r="AX2" s="1579"/>
      <c r="AY2" s="1579"/>
      <c r="AZ2" s="1580"/>
      <c r="BA2" s="1595">
        <f>1+AO2</f>
        <v>2024</v>
      </c>
      <c r="BB2" s="1579"/>
      <c r="BC2" s="1579"/>
      <c r="BD2" s="1579"/>
      <c r="BE2" s="1579"/>
      <c r="BF2" s="1579"/>
      <c r="BG2" s="1579"/>
      <c r="BH2" s="1579"/>
      <c r="BI2" s="1579"/>
      <c r="BJ2" s="1579"/>
      <c r="BK2" s="1579"/>
      <c r="BL2" s="1580"/>
    </row>
    <row r="3" spans="2:64" s="269" customFormat="1" ht="19.95" customHeight="1" thickBot="1">
      <c r="B3" s="1585"/>
      <c r="C3" s="1586"/>
      <c r="D3" s="1582"/>
      <c r="E3" s="1596"/>
      <c r="F3" s="1581"/>
      <c r="G3" s="1581"/>
      <c r="H3" s="1581"/>
      <c r="I3" s="1581"/>
      <c r="J3" s="1581"/>
      <c r="K3" s="1581"/>
      <c r="L3" s="1581"/>
      <c r="M3" s="1581"/>
      <c r="N3" s="1581"/>
      <c r="O3" s="1581"/>
      <c r="P3" s="1582"/>
      <c r="Q3" s="1596"/>
      <c r="R3" s="1581"/>
      <c r="S3" s="1581"/>
      <c r="T3" s="1581"/>
      <c r="U3" s="1581"/>
      <c r="V3" s="1581"/>
      <c r="W3" s="1581"/>
      <c r="X3" s="1581"/>
      <c r="Y3" s="1581"/>
      <c r="Z3" s="1581"/>
      <c r="AA3" s="1581"/>
      <c r="AB3" s="1582"/>
      <c r="AC3" s="1596"/>
      <c r="AD3" s="1581"/>
      <c r="AE3" s="1581"/>
      <c r="AF3" s="1581"/>
      <c r="AG3" s="1581"/>
      <c r="AH3" s="1581"/>
      <c r="AI3" s="1581"/>
      <c r="AJ3" s="1581"/>
      <c r="AK3" s="1581"/>
      <c r="AL3" s="1581"/>
      <c r="AM3" s="1581"/>
      <c r="AN3" s="1582"/>
      <c r="AO3" s="1596"/>
      <c r="AP3" s="1581"/>
      <c r="AQ3" s="1581"/>
      <c r="AR3" s="1581"/>
      <c r="AS3" s="1581"/>
      <c r="AT3" s="1581"/>
      <c r="AU3" s="1581"/>
      <c r="AV3" s="1581"/>
      <c r="AW3" s="1581"/>
      <c r="AX3" s="1581"/>
      <c r="AY3" s="1581"/>
      <c r="AZ3" s="1582"/>
      <c r="BA3" s="1596"/>
      <c r="BB3" s="1581"/>
      <c r="BC3" s="1581"/>
      <c r="BD3" s="1581"/>
      <c r="BE3" s="1581"/>
      <c r="BF3" s="1581"/>
      <c r="BG3" s="1581"/>
      <c r="BH3" s="1581"/>
      <c r="BI3" s="1581"/>
      <c r="BJ3" s="1581"/>
      <c r="BK3" s="1581"/>
      <c r="BL3" s="1582"/>
    </row>
    <row r="4" spans="2:64" ht="30" customHeight="1" thickBot="1">
      <c r="B4" s="1587"/>
      <c r="C4" s="1588"/>
      <c r="D4" s="276"/>
      <c r="E4" s="274" t="s">
        <v>187</v>
      </c>
      <c r="F4" s="275" t="s">
        <v>188</v>
      </c>
      <c r="G4" s="275" t="s">
        <v>189</v>
      </c>
      <c r="H4" s="275" t="s">
        <v>190</v>
      </c>
      <c r="I4" s="275" t="s">
        <v>8</v>
      </c>
      <c r="J4" s="275" t="s">
        <v>191</v>
      </c>
      <c r="K4" s="275" t="s">
        <v>192</v>
      </c>
      <c r="L4" s="275" t="s">
        <v>193</v>
      </c>
      <c r="M4" s="275" t="s">
        <v>194</v>
      </c>
      <c r="N4" s="275" t="s">
        <v>195</v>
      </c>
      <c r="O4" s="275" t="s">
        <v>196</v>
      </c>
      <c r="P4" s="276" t="s">
        <v>197</v>
      </c>
      <c r="Q4" s="274" t="s">
        <v>187</v>
      </c>
      <c r="R4" s="275" t="s">
        <v>188</v>
      </c>
      <c r="S4" s="275" t="s">
        <v>189</v>
      </c>
      <c r="T4" s="275" t="s">
        <v>190</v>
      </c>
      <c r="U4" s="275" t="s">
        <v>8</v>
      </c>
      <c r="V4" s="275" t="s">
        <v>191</v>
      </c>
      <c r="W4" s="275" t="s">
        <v>192</v>
      </c>
      <c r="X4" s="275" t="s">
        <v>193</v>
      </c>
      <c r="Y4" s="275" t="s">
        <v>194</v>
      </c>
      <c r="Z4" s="275" t="s">
        <v>195</v>
      </c>
      <c r="AA4" s="275" t="s">
        <v>196</v>
      </c>
      <c r="AB4" s="276" t="s">
        <v>197</v>
      </c>
      <c r="AC4" s="274" t="s">
        <v>187</v>
      </c>
      <c r="AD4" s="275" t="s">
        <v>188</v>
      </c>
      <c r="AE4" s="275" t="s">
        <v>189</v>
      </c>
      <c r="AF4" s="275" t="s">
        <v>190</v>
      </c>
      <c r="AG4" s="275" t="s">
        <v>8</v>
      </c>
      <c r="AH4" s="275" t="s">
        <v>191</v>
      </c>
      <c r="AI4" s="275" t="s">
        <v>192</v>
      </c>
      <c r="AJ4" s="275" t="s">
        <v>193</v>
      </c>
      <c r="AK4" s="275" t="s">
        <v>194</v>
      </c>
      <c r="AL4" s="275" t="s">
        <v>195</v>
      </c>
      <c r="AM4" s="275" t="s">
        <v>196</v>
      </c>
      <c r="AN4" s="276" t="s">
        <v>197</v>
      </c>
      <c r="AO4" s="274" t="s">
        <v>187</v>
      </c>
      <c r="AP4" s="275" t="s">
        <v>188</v>
      </c>
      <c r="AQ4" s="275" t="s">
        <v>189</v>
      </c>
      <c r="AR4" s="275" t="s">
        <v>190</v>
      </c>
      <c r="AS4" s="275" t="s">
        <v>8</v>
      </c>
      <c r="AT4" s="275" t="s">
        <v>191</v>
      </c>
      <c r="AU4" s="275" t="s">
        <v>192</v>
      </c>
      <c r="AV4" s="275" t="s">
        <v>193</v>
      </c>
      <c r="AW4" s="275" t="s">
        <v>194</v>
      </c>
      <c r="AX4" s="275" t="s">
        <v>195</v>
      </c>
      <c r="AY4" s="275" t="s">
        <v>196</v>
      </c>
      <c r="AZ4" s="276" t="s">
        <v>197</v>
      </c>
      <c r="BA4" s="414" t="s">
        <v>187</v>
      </c>
      <c r="BB4" s="275" t="s">
        <v>188</v>
      </c>
      <c r="BC4" s="275" t="s">
        <v>189</v>
      </c>
      <c r="BD4" s="275" t="s">
        <v>190</v>
      </c>
      <c r="BE4" s="275" t="s">
        <v>8</v>
      </c>
      <c r="BF4" s="275" t="s">
        <v>191</v>
      </c>
      <c r="BG4" s="275" t="s">
        <v>192</v>
      </c>
      <c r="BH4" s="275" t="s">
        <v>193</v>
      </c>
      <c r="BI4" s="275" t="s">
        <v>194</v>
      </c>
      <c r="BJ4" s="275" t="s">
        <v>195</v>
      </c>
      <c r="BK4" s="275" t="s">
        <v>196</v>
      </c>
      <c r="BL4" s="415" t="s">
        <v>197</v>
      </c>
    </row>
    <row r="5" spans="2:64" s="341" customFormat="1" ht="19.95" customHeight="1">
      <c r="B5" s="410" t="s">
        <v>27</v>
      </c>
      <c r="C5" s="410"/>
      <c r="D5" s="126">
        <f>+Dashboard!C40-0</f>
        <v>-9061</v>
      </c>
      <c r="E5" s="124">
        <f>'Income Statement'!E72-0</f>
        <v>-5778.224664609056</v>
      </c>
      <c r="F5" s="125">
        <f>'Income Statement'!F72-0</f>
        <v>-5778.224664609056</v>
      </c>
      <c r="G5" s="125">
        <f>'Income Statement'!G72-0</f>
        <v>-4770.275914814814</v>
      </c>
      <c r="H5" s="125">
        <f>'Income Statement'!H72-0</f>
        <v>-4520.525555555555</v>
      </c>
      <c r="I5" s="125">
        <f>'Income Statement'!I72-0</f>
        <v>-3769.8975037037035</v>
      </c>
      <c r="J5" s="125">
        <f>'Income Statement'!J72-0</f>
        <v>-1800.077503703704</v>
      </c>
      <c r="K5" s="665">
        <f>'Income Statement'!K72-Dashboard!C43</f>
        <v>-2740.1321037037037</v>
      </c>
      <c r="L5" s="125">
        <f>'Income Statement'!L72-0</f>
        <v>-3020.2121037037036</v>
      </c>
      <c r="M5" s="125">
        <f>'Income Statement'!M72-0</f>
        <v>-9078.021604938273</v>
      </c>
      <c r="N5" s="125">
        <f>'Income Statement'!N72-0</f>
        <v>-15438.630895061728</v>
      </c>
      <c r="O5" s="125">
        <f>'Income Statement'!O72-0</f>
        <v>-13452.510895061729</v>
      </c>
      <c r="P5" s="126">
        <f>'Income Statement'!P72-0</f>
        <v>-13223.600895061727</v>
      </c>
      <c r="Q5" s="124">
        <f>'Income Statement'!Q72-0</f>
        <v>-14717.81527983539</v>
      </c>
      <c r="R5" s="125">
        <f>'Income Statement'!R72-0</f>
        <v>-11251.504559670782</v>
      </c>
      <c r="S5" s="125">
        <f>'Income Statement'!S72-0</f>
        <v>-9521.253839506177</v>
      </c>
      <c r="T5" s="125">
        <f>'Income Statement'!T72-0</f>
        <v>-8891.543119341566</v>
      </c>
      <c r="U5" s="125">
        <f>'Income Statement'!U72-0</f>
        <v>-8261.832399176958</v>
      </c>
      <c r="V5" s="125">
        <f>'Income Statement'!V72-0</f>
        <v>-7454.6416790123485</v>
      </c>
      <c r="W5" s="125">
        <f>'Income Statement'!W72-Dashboard!H43</f>
        <v>-5808.35095884774</v>
      </c>
      <c r="X5" s="125">
        <f>'Income Statement'!X72-0</f>
        <v>-5137.66798868313</v>
      </c>
      <c r="Y5" s="125">
        <f>'Income Statement'!Y72-0</f>
        <v>-4055.0972685185207</v>
      </c>
      <c r="Z5" s="125">
        <f>'Income Statement'!Z72-0</f>
        <v>-3218.3265483539153</v>
      </c>
      <c r="AA5" s="125">
        <f>'Income Statement'!AA72-0</f>
        <v>-2332.9558281893032</v>
      </c>
      <c r="AB5" s="126">
        <f>'Income Statement'!AB72-0</f>
        <v>-1209.412858024696</v>
      </c>
      <c r="AC5" s="124">
        <f>'Income Statement'!AC72-0</f>
        <v>-7640.504896090526</v>
      </c>
      <c r="AD5" s="125">
        <f>'Income Statement'!AD72-0</f>
        <v>-6537.023455761304</v>
      </c>
      <c r="AE5" s="125">
        <f>'Income Statement'!AE72-0</f>
        <v>-5373.549765432095</v>
      </c>
      <c r="AF5" s="125">
        <f>'Income Statement'!AF72-0</f>
        <v>-4437.688325102876</v>
      </c>
      <c r="AG5" s="125">
        <f>'Income Statement'!AG72-0</f>
        <v>-3108.126884773653</v>
      </c>
      <c r="AH5" s="125">
        <f>'Income Statement'!AH72-0</f>
        <v>-1885.4931944444324</v>
      </c>
      <c r="AI5" s="125">
        <f>'Income Statement'!AI72-Dashboard!M43</f>
        <v>-496.7717541152133</v>
      </c>
      <c r="AJ5" s="125">
        <f>'Income Statement'!AJ72-0</f>
        <v>891.9496862139986</v>
      </c>
      <c r="AK5" s="125">
        <f>'Income Statement'!AK72-0</f>
        <v>2567.44337654322</v>
      </c>
      <c r="AL5" s="125">
        <f>'Income Statement'!AL72-0</f>
        <v>4015.324816872436</v>
      </c>
      <c r="AM5" s="125">
        <f>'Income Statement'!AM72-0</f>
        <v>5935.086257201656</v>
      </c>
      <c r="AN5" s="126">
        <f>'Income Statement'!AN72-0</f>
        <v>7490.727697530873</v>
      </c>
      <c r="AO5" s="124">
        <f>'Income Statement'!AO72-0</f>
        <v>11093.890690329226</v>
      </c>
      <c r="AP5" s="125">
        <f>'Income Statement'!AP72-0</f>
        <v>13113.78438065845</v>
      </c>
      <c r="AQ5" s="125">
        <f>'Income Statement'!AQ72-0</f>
        <v>15151.865820987668</v>
      </c>
      <c r="AR5" s="125">
        <f>'Income Statement'!AR72-0</f>
        <v>17467.19726131688</v>
      </c>
      <c r="AS5" s="125">
        <f>'Income Statement'!AS72-0</f>
        <v>19820.7332016461</v>
      </c>
      <c r="AT5" s="125">
        <f>'Income Statement'!AT72-0</f>
        <v>22380.13464197532</v>
      </c>
      <c r="AU5" s="125">
        <f>'Income Statement'!AU72-Dashboard!R43</f>
        <v>29926.210082304548</v>
      </c>
      <c r="AV5" s="125">
        <f>'Income Statement'!AV72-0</f>
        <v>32682.943772633767</v>
      </c>
      <c r="AW5" s="125">
        <f>'Income Statement'!AW72-0</f>
        <v>35843.93746296297</v>
      </c>
      <c r="AX5" s="125">
        <f>'Income Statement'!AX72-0</f>
        <v>38973.81890329219</v>
      </c>
      <c r="AY5" s="125">
        <f>'Income Statement'!AY72-0</f>
        <v>42272.15259362142</v>
      </c>
      <c r="AZ5" s="126">
        <f>'Income Statement'!AZ72-0</f>
        <v>45766.15403395063</v>
      </c>
      <c r="BA5" s="124">
        <f>'Income Statement'!BA72-0</f>
        <v>46815.6742069959</v>
      </c>
      <c r="BB5" s="125">
        <f>'Income Statement'!BB72-0</f>
        <v>50696.580147325105</v>
      </c>
      <c r="BC5" s="125">
        <f>'Income Statement'!BC72-0</f>
        <v>55006.86158765432</v>
      </c>
      <c r="BD5" s="125">
        <f>'Income Statement'!BD72-0</f>
        <v>59191.19527798355</v>
      </c>
      <c r="BE5" s="125">
        <f>'Income Statement'!BE72-0</f>
        <v>64350.54121831277</v>
      </c>
      <c r="BF5" s="125">
        <f>'Income Statement'!BF72-0</f>
        <v>69152.56265864198</v>
      </c>
      <c r="BG5" s="125">
        <f>'Income Statement'!BG72-Dashboard!W43</f>
        <v>-17846.126522727616</v>
      </c>
      <c r="BH5" s="125">
        <f>'Income Statement'!BH72-0</f>
        <v>85068.98828930041</v>
      </c>
      <c r="BI5" s="125">
        <f>'Income Statement'!BI72-0</f>
        <v>91021.82972962964</v>
      </c>
      <c r="BJ5" s="125">
        <f>'Income Statement'!BJ72-0</f>
        <v>97381.99566995885</v>
      </c>
      <c r="BK5" s="125">
        <f>'Income Statement'!BK72-0</f>
        <v>103720.20936028808</v>
      </c>
      <c r="BL5" s="126">
        <f>'Income Statement'!BL72-0</f>
        <v>110952.75080061729</v>
      </c>
    </row>
    <row r="6" spans="2:66" ht="19.95" customHeight="1">
      <c r="B6" s="291" t="s">
        <v>23</v>
      </c>
      <c r="C6" s="291"/>
      <c r="D6" s="653">
        <f>+Dashboard!C37</f>
        <v>17641</v>
      </c>
      <c r="E6" s="121">
        <f>+'Income Statement'!E69</f>
        <v>1520.0833333333333</v>
      </c>
      <c r="F6" s="122">
        <f>+'Income Statement'!F69</f>
        <v>1520.0833333333333</v>
      </c>
      <c r="G6" s="122">
        <f>+'Income Statement'!G69</f>
        <v>1520.0833333333333</v>
      </c>
      <c r="H6" s="122">
        <f>+'Income Statement'!H69</f>
        <v>1520.0833333333333</v>
      </c>
      <c r="I6" s="122">
        <f>+'Income Statement'!I69</f>
        <v>1520.0833333333333</v>
      </c>
      <c r="J6" s="122">
        <f>+'Income Statement'!J69</f>
        <v>1520.0833333333333</v>
      </c>
      <c r="K6" s="122">
        <f>+'Income Statement'!K69</f>
        <v>1520.0833333333333</v>
      </c>
      <c r="L6" s="122">
        <f>+'Income Statement'!L69</f>
        <v>1520.0833333333333</v>
      </c>
      <c r="M6" s="122">
        <f>+'Income Statement'!M69</f>
        <v>1520.0833333333333</v>
      </c>
      <c r="N6" s="122">
        <f>+'Income Statement'!N69</f>
        <v>1686.75</v>
      </c>
      <c r="O6" s="122">
        <f>+'Income Statement'!O69</f>
        <v>1686.75</v>
      </c>
      <c r="P6" s="123">
        <f>+'Income Statement'!P69</f>
        <v>1686.75</v>
      </c>
      <c r="Q6" s="121">
        <f>+'Income Statement'!Q69</f>
        <v>2124.999279835391</v>
      </c>
      <c r="R6" s="122">
        <f>+'Income Statement'!R69</f>
        <v>2163.248559670782</v>
      </c>
      <c r="S6" s="122">
        <f>+'Income Statement'!S69</f>
        <v>2201.497839506173</v>
      </c>
      <c r="T6" s="122">
        <f>+'Income Statement'!T69</f>
        <v>2239.747119341564</v>
      </c>
      <c r="U6" s="122">
        <f>+'Income Statement'!U69</f>
        <v>2277.996399176955</v>
      </c>
      <c r="V6" s="122">
        <f>+'Income Statement'!V69</f>
        <v>2316.245679012346</v>
      </c>
      <c r="W6" s="122">
        <f>+'Income Statement'!W69</f>
        <v>2354.4949588477366</v>
      </c>
      <c r="X6" s="122">
        <f>+'Income Statement'!X69</f>
        <v>2392.744238683128</v>
      </c>
      <c r="Y6" s="122">
        <f>+'Income Statement'!Y69</f>
        <v>2430.9935185185186</v>
      </c>
      <c r="Z6" s="122">
        <f>+'Income Statement'!Z69</f>
        <v>2469.24279835391</v>
      </c>
      <c r="AA6" s="122">
        <f>+'Income Statement'!AA69</f>
        <v>2507.4920781893006</v>
      </c>
      <c r="AB6" s="123">
        <f>+'Income Statement'!AB69</f>
        <v>2545.741358024692</v>
      </c>
      <c r="AC6" s="121">
        <f>+'Income Statement'!AC69</f>
        <v>3205.5732510288067</v>
      </c>
      <c r="AD6" s="122">
        <f>+'Income Statement'!AD69</f>
        <v>3282.0718106995887</v>
      </c>
      <c r="AE6" s="122">
        <f>+'Income Statement'!AE69</f>
        <v>3358.5703703703707</v>
      </c>
      <c r="AF6" s="122">
        <f>+'Income Statement'!AF69</f>
        <v>3435.0689300411523</v>
      </c>
      <c r="AG6" s="122">
        <f>+'Income Statement'!AG69</f>
        <v>3511.5674897119343</v>
      </c>
      <c r="AH6" s="122">
        <f>+'Income Statement'!AH69</f>
        <v>3588.0660493827163</v>
      </c>
      <c r="AI6" s="122">
        <f>+'Income Statement'!AI69</f>
        <v>3664.5646090534983</v>
      </c>
      <c r="AJ6" s="122">
        <f>+'Income Statement'!AJ69</f>
        <v>3741.0631687242803</v>
      </c>
      <c r="AK6" s="122">
        <f>+'Income Statement'!AK69</f>
        <v>3817.561728395062</v>
      </c>
      <c r="AL6" s="122">
        <f>+'Income Statement'!AL69</f>
        <v>3894.0602880658435</v>
      </c>
      <c r="AM6" s="122">
        <f>+'Income Statement'!AM69</f>
        <v>3970.5588477366255</v>
      </c>
      <c r="AN6" s="123">
        <f>+'Income Statement'!AN69</f>
        <v>4047.0574074074075</v>
      </c>
      <c r="AO6" s="121">
        <f>+'Income Statement'!AO69</f>
        <v>4890.222633744856</v>
      </c>
      <c r="AP6" s="122">
        <f>+'Income Statement'!AP69</f>
        <v>4966.721193415638</v>
      </c>
      <c r="AQ6" s="122">
        <f>+'Income Statement'!AQ69</f>
        <v>5043.21975308642</v>
      </c>
      <c r="AR6" s="122">
        <f>+'Income Statement'!AR69</f>
        <v>5265.748312757201</v>
      </c>
      <c r="AS6" s="122">
        <f>+'Income Statement'!AS69</f>
        <v>5196.216872427983</v>
      </c>
      <c r="AT6" s="122">
        <f>+'Income Statement'!AT69</f>
        <v>5272.715432098765</v>
      </c>
      <c r="AU6" s="122">
        <f>+'Income Statement'!AU69</f>
        <v>5349.213991769546</v>
      </c>
      <c r="AV6" s="122">
        <f>+'Income Statement'!AV69</f>
        <v>5425.712551440328</v>
      </c>
      <c r="AW6" s="122">
        <f>+'Income Statement'!AW69</f>
        <v>5502.21111111111</v>
      </c>
      <c r="AX6" s="122">
        <f>+'Income Statement'!AX69</f>
        <v>5578.709670781892</v>
      </c>
      <c r="AY6" s="122">
        <f>+'Income Statement'!AY69</f>
        <v>5655.208230452674</v>
      </c>
      <c r="AZ6" s="123">
        <f>+'Income Statement'!AZ69</f>
        <v>5731.706790123456</v>
      </c>
      <c r="BA6" s="121">
        <f>+'Income Statement'!BA69</f>
        <v>6591.538683127572</v>
      </c>
      <c r="BB6" s="122">
        <f>+'Income Statement'!BB69</f>
        <v>6668.037242798353</v>
      </c>
      <c r="BC6" s="122">
        <f>+'Income Statement'!BC69</f>
        <v>6744.535802469136</v>
      </c>
      <c r="BD6" s="122">
        <f>+'Income Statement'!BD69</f>
        <v>6821.034362139917</v>
      </c>
      <c r="BE6" s="122">
        <f>+'Income Statement'!BE69</f>
        <v>6897.5329218107</v>
      </c>
      <c r="BF6" s="122">
        <f>+'Income Statement'!BF69</f>
        <v>6974.031481481481</v>
      </c>
      <c r="BG6" s="122">
        <f>+'Income Statement'!BG69</f>
        <v>7050.530041152264</v>
      </c>
      <c r="BH6" s="122">
        <f>+'Income Statement'!BH69</f>
        <v>7127.028600823045</v>
      </c>
      <c r="BI6" s="122">
        <f>+'Income Statement'!BI69</f>
        <v>7203.527160493828</v>
      </c>
      <c r="BJ6" s="122">
        <f>+'Income Statement'!BJ69</f>
        <v>7280.025720164609</v>
      </c>
      <c r="BK6" s="122">
        <f>+'Income Statement'!BK69</f>
        <v>7356.524279835392</v>
      </c>
      <c r="BL6" s="123">
        <f>+'Income Statement'!BL69</f>
        <v>7433.022839506173</v>
      </c>
      <c r="BN6" s="1"/>
    </row>
    <row r="7" spans="2:66" ht="19.95" customHeight="1">
      <c r="B7" s="291" t="s">
        <v>178</v>
      </c>
      <c r="C7" s="291"/>
      <c r="D7" s="400"/>
      <c r="E7" s="122">
        <f>+'VAT Tax Treatment'!F32+'VAT Tax Treatment'!E11</f>
        <v>1040.9574999999998</v>
      </c>
      <c r="F7" s="122">
        <f>+'VAT Tax Treatment'!G32+'VAT Tax Treatment'!F11</f>
        <v>641.6941666666667</v>
      </c>
      <c r="G7" s="520">
        <f>+'VAT Tax Treatment'!H32+'VAT Tax Treatment'!G11</f>
        <v>-18.30583333333334</v>
      </c>
      <c r="H7" s="122">
        <f>+'VAT Tax Treatment'!I32+'VAT Tax Treatment'!H11</f>
        <v>-18.30583333333334</v>
      </c>
      <c r="I7" s="122">
        <f>+'VAT Tax Treatment'!J32+'VAT Tax Treatment'!I11</f>
        <v>-18.30583333333334</v>
      </c>
      <c r="J7" s="520">
        <f>+'VAT Tax Treatment'!K32+'VAT Tax Treatment'!J11</f>
        <v>415.0545666666667</v>
      </c>
      <c r="K7" s="122">
        <f>+'VAT Tax Treatment'!L32+'VAT Tax Treatment'!K11</f>
        <v>-390.0486333333333</v>
      </c>
      <c r="L7" s="122">
        <f>+'VAT Tax Treatment'!M32+'VAT Tax Treatment'!L11</f>
        <v>-79.92343333333338</v>
      </c>
      <c r="M7" s="122">
        <f>+'VAT Tax Treatment'!N32+'VAT Tax Treatment'!M11</f>
        <v>-18.30583333333334</v>
      </c>
      <c r="N7" s="122">
        <f>+'VAT Tax Treatment'!O32+'VAT Tax Treatment'!N11</f>
        <v>-3076.082716666666</v>
      </c>
      <c r="O7" s="122">
        <f>+'VAT Tax Treatment'!P32+'VAT Tax Treatment'!O11</f>
        <v>2618.640566666665</v>
      </c>
      <c r="P7" s="123">
        <f>+'VAT Tax Treatment'!Q32+'VAT Tax Treatment'!P11</f>
        <v>32.05436666666719</v>
      </c>
      <c r="Q7" s="121">
        <f>+'VAT Tax Treatment'!R32+'VAT Tax Treatment'!Q11</f>
        <v>-4419.859070000002</v>
      </c>
      <c r="R7" s="122">
        <f>+'VAT Tax Treatment'!S32+'VAT Tax Treatment'!R11</f>
        <v>6032.69736666666</v>
      </c>
      <c r="S7" s="122">
        <f>+'VAT Tax Treatment'!T32+'VAT Tax Treatment'!S11</f>
        <v>370.76416666666773</v>
      </c>
      <c r="T7" s="122">
        <f>+'VAT Tax Treatment'!U32+'VAT Tax Treatment'!T11</f>
        <v>128.64536666667118</v>
      </c>
      <c r="U7" s="122">
        <f>+'VAT Tax Treatment'!V32+'VAT Tax Treatment'!U11</f>
        <v>128.64536666667118</v>
      </c>
      <c r="V7" s="122">
        <f>+'VAT Tax Treatment'!W32+'VAT Tax Treatment'!V11</f>
        <v>167.6909666666761</v>
      </c>
      <c r="W7" s="122">
        <f>+'VAT Tax Treatment'!X32+'VAT Tax Treatment'!W11</f>
        <v>352.2929666666605</v>
      </c>
      <c r="X7" s="122">
        <f>+'VAT Tax Treatment'!Y32+'VAT Tax Treatment'!X11</f>
        <v>137.65926166667487</v>
      </c>
      <c r="Y7" s="122">
        <f>+'VAT Tax Treatment'!Z32+'VAT Tax Treatment'!Y11</f>
        <v>228.27456666665967</v>
      </c>
      <c r="Z7" s="122">
        <f>+'VAT Tax Treatment'!AA32+'VAT Tax Treatment'!Z11</f>
        <v>174.198566666666</v>
      </c>
      <c r="AA7" s="122">
        <f>+'VAT Tax Treatment'!AB32+'VAT Tax Treatment'!AA11</f>
        <v>184.89056666666875</v>
      </c>
      <c r="AB7" s="123">
        <f>+'VAT Tax Treatment'!AC32+'VAT Tax Treatment'!AB11</f>
        <v>237.28846166666335</v>
      </c>
      <c r="AC7" s="121">
        <f>+'VAT Tax Treatment'!AD32+'VAT Tax Treatment'!AC11</f>
        <v>-6604.654484999985</v>
      </c>
      <c r="AD7" s="122">
        <f>+'VAT Tax Treatment'!AE32+'VAT Tax Treatment'!AD11</f>
        <v>7959.595600000001</v>
      </c>
      <c r="AE7" s="122">
        <f>+'VAT Tax Treatment'!AF32+'VAT Tax Treatment'!AE11</f>
        <v>272.79389499999525</v>
      </c>
      <c r="AF7" s="122">
        <f>+'VAT Tax Treatment'!AG32+'VAT Tax Treatment'!AF11</f>
        <v>222.71919999999227</v>
      </c>
      <c r="AG7" s="122">
        <f>+'VAT Tax Treatment'!AH32+'VAT Tax Treatment'!AG11</f>
        <v>309.33320000002277</v>
      </c>
      <c r="AH7" s="122">
        <f>+'VAT Tax Treatment'!AI32+'VAT Tax Treatment'!AH11</f>
        <v>285.80909500000416</v>
      </c>
      <c r="AI7" s="122">
        <f>+'VAT Tax Treatment'!AJ32+'VAT Tax Treatment'!AI11</f>
        <v>322.3484000000026</v>
      </c>
      <c r="AJ7" s="122">
        <f>+'VAT Tax Treatment'!AK32+'VAT Tax Treatment'!AJ11</f>
        <v>322.34839999998803</v>
      </c>
      <c r="AK7" s="122">
        <f>+'VAT Tax Treatment'!AL32+'VAT Tax Treatment'!AK11</f>
        <v>385.4382950000145</v>
      </c>
      <c r="AL7" s="122">
        <f>+'VAT Tax Treatment'!AM32+'VAT Tax Treatment'!AL11</f>
        <v>335.3636000000115</v>
      </c>
      <c r="AM7" s="122">
        <f>+'VAT Tax Treatment'!AN32+'VAT Tax Treatment'!AM11</f>
        <v>439.177199999991</v>
      </c>
      <c r="AN7" s="123">
        <f>+'VAT Tax Treatment'!AO32+'VAT Tax Treatment'!AN11</f>
        <v>359.0708000000159</v>
      </c>
      <c r="AO7" s="121">
        <f>+'VAT Tax Treatment'!AP32+'VAT Tax Treatment'!AO11</f>
        <v>-8992.994835000005</v>
      </c>
      <c r="AP7" s="122">
        <f>+'VAT Tax Treatment'!AQ32+'VAT Tax Treatment'!AP11</f>
        <v>10581.206294999996</v>
      </c>
      <c r="AQ7" s="122">
        <f>+'VAT Tax Treatment'!AR32+'VAT Tax Treatment'!AQ11</f>
        <v>465.2076000000088</v>
      </c>
      <c r="AR7" s="122">
        <f>+'VAT Tax Treatment'!AS32+'VAT Tax Treatment'!AR11</f>
        <v>558.3291999999783</v>
      </c>
      <c r="AS7" s="122">
        <f>+'VAT Tax Treatment'!AT32+'VAT Tax Treatment'!AS11</f>
        <v>502.4809899999964</v>
      </c>
      <c r="AT7" s="122">
        <f>+'VAT Tax Treatment'!AU32+'VAT Tax Treatment'!AT11</f>
        <v>579.898000000001</v>
      </c>
      <c r="AU7" s="122">
        <f>+'VAT Tax Treatment'!AV32+'VAT Tax Treatment'!AU11</f>
        <v>1676.9662800000078</v>
      </c>
      <c r="AV7" s="122">
        <f>+'VAT Tax Treatment'!AW32+'VAT Tax Treatment'!AV11</f>
        <v>623.3110949999827</v>
      </c>
      <c r="AW7" s="122">
        <f>+'VAT Tax Treatment'!AX32+'VAT Tax Treatment'!AW11</f>
        <v>712.248294999983</v>
      </c>
      <c r="AX7" s="122">
        <f>+'VAT Tax Treatment'!AY32+'VAT Tax Treatment'!AX11</f>
        <v>705.4036000000051</v>
      </c>
      <c r="AY7" s="122">
        <f>+'VAT Tax Treatment'!AZ32+'VAT Tax Treatment'!AY11</f>
        <v>742.4630949999992</v>
      </c>
      <c r="AZ7" s="123">
        <f>+'VAT Tax Treatment'!BA32+'VAT Tax Treatment'!AZ11</f>
        <v>785.5099999999948</v>
      </c>
      <c r="BA7" s="121">
        <f>+'VAT Tax Treatment'!BB32+'VAT Tax Treatment'!BA11</f>
        <v>-8668.333076333292</v>
      </c>
      <c r="BB7" s="122">
        <f>+'VAT Tax Treatment'!BC32+'VAT Tax Treatment'!BB11</f>
        <v>11210.628989999968</v>
      </c>
      <c r="BC7" s="122">
        <f>+'VAT Tax Treatment'!BD32+'VAT Tax Treatment'!BC11</f>
        <v>965.0916000000434</v>
      </c>
      <c r="BD7" s="122">
        <f>+'VAT Tax Treatment'!BE32+'VAT Tax Treatment'!BD11</f>
        <v>937.3830949999683</v>
      </c>
      <c r="BE7" s="122">
        <f>+'VAT Tax Treatment'!BF32+'VAT Tax Treatment'!BE11</f>
        <v>1151.8857900000003</v>
      </c>
      <c r="BF7" s="122">
        <f>+'VAT Tax Treatment'!BG32+'VAT Tax Treatment'!BF11</f>
        <v>1073.274400000024</v>
      </c>
      <c r="BG7" s="122">
        <f>+'VAT Tax Treatment'!BH32+'VAT Tax Treatment'!BG11</f>
        <v>2290.6027100000065</v>
      </c>
      <c r="BH7" s="122">
        <f>+'VAT Tax Treatment'!BI32+'VAT Tax Treatment'!BH11</f>
        <v>1244.6702949999599</v>
      </c>
      <c r="BI7" s="122">
        <f>+'VAT Tax Treatment'!BJ32+'VAT Tax Treatment'!BI11</f>
        <v>1326.454800000036</v>
      </c>
      <c r="BJ7" s="122">
        <f>+'VAT Tax Treatment'!BK32+'VAT Tax Treatment'!BJ11</f>
        <v>1416.0661899999832</v>
      </c>
      <c r="BK7" s="122">
        <f>+'VAT Tax Treatment'!BL32+'VAT Tax Treatment'!BK11</f>
        <v>1411.2366949999996</v>
      </c>
      <c r="BL7" s="123">
        <f>+'VAT Tax Treatment'!BM32+'VAT Tax Treatment'!BL11</f>
        <v>1607.988799999992</v>
      </c>
      <c r="BN7" s="1"/>
    </row>
    <row r="8" spans="2:66" ht="19.95" customHeight="1">
      <c r="B8" s="291" t="s">
        <v>166</v>
      </c>
      <c r="C8" s="291"/>
      <c r="D8" s="653">
        <f>+'Balance Sheet'!S30</f>
        <v>0</v>
      </c>
      <c r="E8" s="121">
        <f>+' HR Breakdown'!C96</f>
        <v>110.65843621399175</v>
      </c>
      <c r="F8" s="122">
        <f>+' HR Breakdown'!D96</f>
        <v>110.65843621399175</v>
      </c>
      <c r="G8" s="122">
        <f>+' HR Breakdown'!E96</f>
        <v>111.48148148148148</v>
      </c>
      <c r="H8" s="122">
        <f>+' HR Breakdown'!F96</f>
        <v>102.22222222222223</v>
      </c>
      <c r="I8" s="122">
        <f>+' HR Breakdown'!G96</f>
        <v>74.37037037037037</v>
      </c>
      <c r="J8" s="122">
        <f>+' HR Breakdown'!H96</f>
        <v>74.37037037037037</v>
      </c>
      <c r="K8" s="122">
        <f>+' HR Breakdown'!I96</f>
        <v>46.370370370370374</v>
      </c>
      <c r="L8" s="122">
        <f>+' HR Breakdown'!J96</f>
        <v>46.370370370370374</v>
      </c>
      <c r="M8" s="122">
        <f>+' HR Breakdown'!K96</f>
        <v>271.6049382716049</v>
      </c>
      <c r="N8" s="122">
        <f>+' HR Breakdown'!L96</f>
        <v>395.0617283950617</v>
      </c>
      <c r="O8" s="122">
        <f>+' HR Breakdown'!M96</f>
        <v>395.0617283950617</v>
      </c>
      <c r="P8" s="123">
        <f>+' HR Breakdown'!N96</f>
        <v>395.0617283950617</v>
      </c>
      <c r="Q8" s="121">
        <f>+' HR Breakdown'!O96</f>
        <v>790.1234567901234</v>
      </c>
      <c r="R8" s="122">
        <f>+' HR Breakdown'!P96</f>
        <v>790.1234567901234</v>
      </c>
      <c r="S8" s="122">
        <f>+' HR Breakdown'!Q96</f>
        <v>790.1234567901234</v>
      </c>
      <c r="T8" s="122">
        <f>+' HR Breakdown'!R96</f>
        <v>790.1234567901234</v>
      </c>
      <c r="U8" s="122">
        <f>+' HR Breakdown'!S96</f>
        <v>790.1234567901234</v>
      </c>
      <c r="V8" s="122">
        <f>+' HR Breakdown'!T96</f>
        <v>790.1234567901234</v>
      </c>
      <c r="W8" s="122">
        <f>+' HR Breakdown'!U96</f>
        <v>790.1234567901234</v>
      </c>
      <c r="X8" s="122">
        <f>+' HR Breakdown'!V96</f>
        <v>790.1234567901234</v>
      </c>
      <c r="Y8" s="122">
        <f>+' HR Breakdown'!W96</f>
        <v>790.1234567901234</v>
      </c>
      <c r="Z8" s="122">
        <f>+' HR Breakdown'!X96</f>
        <v>790.1234567901234</v>
      </c>
      <c r="AA8" s="122">
        <f>+' HR Breakdown'!Y96</f>
        <v>790.1234567901234</v>
      </c>
      <c r="AB8" s="123">
        <f>+' HR Breakdown'!Z96</f>
        <v>790.1234567901234</v>
      </c>
      <c r="AC8" s="121">
        <f>+' HR Breakdown'!AA96</f>
        <v>1475.3086419753085</v>
      </c>
      <c r="AD8" s="122">
        <f>+' HR Breakdown'!AB96</f>
        <v>1475.3086419753085</v>
      </c>
      <c r="AE8" s="122">
        <f>+' HR Breakdown'!AC96</f>
        <v>1475.3086419753085</v>
      </c>
      <c r="AF8" s="122">
        <f>+' HR Breakdown'!AD96</f>
        <v>1475.3086419753085</v>
      </c>
      <c r="AG8" s="122">
        <f>+' HR Breakdown'!AE96</f>
        <v>1475.3086419753085</v>
      </c>
      <c r="AH8" s="122">
        <f>+' HR Breakdown'!AF96</f>
        <v>1475.3086419753085</v>
      </c>
      <c r="AI8" s="122">
        <f>+' HR Breakdown'!AG96</f>
        <v>1475.3086419753085</v>
      </c>
      <c r="AJ8" s="122">
        <f>+' HR Breakdown'!AH96</f>
        <v>1475.3086419753085</v>
      </c>
      <c r="AK8" s="122">
        <f>+' HR Breakdown'!AI96</f>
        <v>1475.3086419753085</v>
      </c>
      <c r="AL8" s="122">
        <f>+' HR Breakdown'!AJ96</f>
        <v>1475.3086419753085</v>
      </c>
      <c r="AM8" s="122">
        <f>+' HR Breakdown'!AK96</f>
        <v>1475.3086419753085</v>
      </c>
      <c r="AN8" s="123">
        <f>+' HR Breakdown'!AL96</f>
        <v>1475.3086419753085</v>
      </c>
      <c r="AO8" s="121">
        <f>+' HR Breakdown'!AM96</f>
        <v>1506.172839506173</v>
      </c>
      <c r="AP8" s="122">
        <f>+' HR Breakdown'!AN96</f>
        <v>1506.172839506173</v>
      </c>
      <c r="AQ8" s="122">
        <f>+' HR Breakdown'!AO96</f>
        <v>1506.172839506173</v>
      </c>
      <c r="AR8" s="122">
        <f>+' HR Breakdown'!AP96</f>
        <v>1506.172839506173</v>
      </c>
      <c r="AS8" s="122">
        <f>+' HR Breakdown'!AQ96</f>
        <v>1506.172839506173</v>
      </c>
      <c r="AT8" s="122">
        <f>+' HR Breakdown'!AR96</f>
        <v>1506.172839506173</v>
      </c>
      <c r="AU8" s="122">
        <f>+' HR Breakdown'!AS96</f>
        <v>1506.172839506173</v>
      </c>
      <c r="AV8" s="122">
        <f>+' HR Breakdown'!AT96</f>
        <v>1506.172839506173</v>
      </c>
      <c r="AW8" s="122">
        <f>+' HR Breakdown'!AU96</f>
        <v>1506.172839506173</v>
      </c>
      <c r="AX8" s="122">
        <f>+' HR Breakdown'!AV96</f>
        <v>1506.172839506173</v>
      </c>
      <c r="AY8" s="122">
        <f>+' HR Breakdown'!AW96</f>
        <v>1506.172839506173</v>
      </c>
      <c r="AZ8" s="123">
        <f>+' HR Breakdown'!AX96</f>
        <v>1506.172839506173</v>
      </c>
      <c r="BA8" s="121">
        <f>+' HR Breakdown'!AY96</f>
        <v>1790.1234567901236</v>
      </c>
      <c r="BB8" s="122">
        <f>+' HR Breakdown'!AZ96</f>
        <v>1790.1234567901236</v>
      </c>
      <c r="BC8" s="122">
        <f>+' HR Breakdown'!BA96</f>
        <v>1790.1234567901236</v>
      </c>
      <c r="BD8" s="122">
        <f>+' HR Breakdown'!BB96</f>
        <v>1790.1234567901236</v>
      </c>
      <c r="BE8" s="122">
        <f>+' HR Breakdown'!BC96</f>
        <v>1790.1234567901236</v>
      </c>
      <c r="BF8" s="122">
        <f>+' HR Breakdown'!BD96</f>
        <v>1790.1234567901236</v>
      </c>
      <c r="BG8" s="122">
        <f>+' HR Breakdown'!BE96</f>
        <v>1790.1234567901236</v>
      </c>
      <c r="BH8" s="122">
        <f>+' HR Breakdown'!BF96</f>
        <v>1790.1234567901236</v>
      </c>
      <c r="BI8" s="122">
        <f>+' HR Breakdown'!BG96</f>
        <v>1790.1234567901236</v>
      </c>
      <c r="BJ8" s="122">
        <f>+' HR Breakdown'!BH96</f>
        <v>1790.1234567901236</v>
      </c>
      <c r="BK8" s="122">
        <f>+' HR Breakdown'!BI96</f>
        <v>1790.1234567901236</v>
      </c>
      <c r="BL8" s="123">
        <f>+' HR Breakdown'!BJ96</f>
        <v>1790.1234567901236</v>
      </c>
      <c r="BN8" s="1"/>
    </row>
    <row r="9" spans="2:64" ht="19.95" customHeight="1">
      <c r="B9" s="292" t="s">
        <v>39</v>
      </c>
      <c r="C9" s="292"/>
      <c r="D9" s="123">
        <f>+SUM(D10:D12)</f>
        <v>-26656</v>
      </c>
      <c r="E9" s="121">
        <f>+SUM(E10:E12)</f>
        <v>-83.20833333333337</v>
      </c>
      <c r="F9" s="122">
        <f aca="true" t="shared" si="0" ref="F9">+SUM(F10:F12)</f>
        <v>-83.20833333333337</v>
      </c>
      <c r="G9" s="122">
        <f aca="true" t="shared" si="1" ref="G9">+SUM(G10:G12)</f>
        <v>-83.20833333333337</v>
      </c>
      <c r="H9" s="122">
        <f aca="true" t="shared" si="2" ref="H9">+SUM(H10:H12)</f>
        <v>-83.20833333333337</v>
      </c>
      <c r="I9" s="122">
        <f aca="true" t="shared" si="3" ref="I9">+SUM(I10:I12)</f>
        <v>-83.20833333333337</v>
      </c>
      <c r="J9" s="122">
        <f aca="true" t="shared" si="4" ref="J9">+SUM(J10:J12)</f>
        <v>-83.20833333333314</v>
      </c>
      <c r="K9" s="122">
        <f aca="true" t="shared" si="5" ref="K9">+SUM(K10:K12)</f>
        <v>-83.20833333333348</v>
      </c>
      <c r="L9" s="122">
        <f aca="true" t="shared" si="6" ref="L9">+SUM(L10:L12)</f>
        <v>-83.2083333333336</v>
      </c>
      <c r="M9" s="122">
        <f aca="true" t="shared" si="7" ref="M9">+SUM(M10:M12)</f>
        <v>-83.20833333333309</v>
      </c>
      <c r="N9" s="122">
        <f aca="true" t="shared" si="8" ref="N9">+SUM(N10:N12)</f>
        <v>-83.20833333333377</v>
      </c>
      <c r="O9" s="122">
        <f aca="true" t="shared" si="9" ref="O9">+SUM(O10:O12)</f>
        <v>-83.20833333333394</v>
      </c>
      <c r="P9" s="123">
        <f aca="true" t="shared" si="10" ref="P9">+SUM(P10:P12)</f>
        <v>-83.20833333333212</v>
      </c>
      <c r="Q9" s="121">
        <f aca="true" t="shared" si="11" ref="Q9">+SUM(Q10:Q12)</f>
        <v>-83.20833333333576</v>
      </c>
      <c r="R9" s="122">
        <f aca="true" t="shared" si="12" ref="R9">+SUM(R10:R12)</f>
        <v>-83.20833333333576</v>
      </c>
      <c r="S9" s="122">
        <f aca="true" t="shared" si="13" ref="S9:AA9">+SUM(S10:S12)</f>
        <v>-83.20833333333576</v>
      </c>
      <c r="T9" s="122">
        <f t="shared" si="13"/>
        <v>-83.20833333333576</v>
      </c>
      <c r="U9" s="122">
        <f t="shared" si="13"/>
        <v>-83.20833333333576</v>
      </c>
      <c r="V9" s="122">
        <f t="shared" si="13"/>
        <v>-83.20833333333576</v>
      </c>
      <c r="W9" s="122">
        <f t="shared" si="13"/>
        <v>-83.20833333333576</v>
      </c>
      <c r="X9" s="122">
        <f t="shared" si="13"/>
        <v>-83.20833333333576</v>
      </c>
      <c r="Y9" s="122">
        <f>+SUM(Y10:Y12)</f>
        <v>-83.20833333333576</v>
      </c>
      <c r="Z9" s="122">
        <f t="shared" si="13"/>
        <v>-83.20833333333576</v>
      </c>
      <c r="AA9" s="122">
        <f t="shared" si="13"/>
        <v>-83.20833333333576</v>
      </c>
      <c r="AB9" s="123">
        <f>+SUM(AB10:AB12)</f>
        <v>-83.20833333330665</v>
      </c>
      <c r="AC9" s="121">
        <f>+SUM(AC10:AC12)</f>
        <v>0</v>
      </c>
      <c r="AD9" s="122">
        <f>+SUM(AD10:AD12)</f>
        <v>0</v>
      </c>
      <c r="AE9" s="122">
        <f>+SUM(AE10:AE12)</f>
        <v>0</v>
      </c>
      <c r="AF9" s="122">
        <f aca="true" t="shared" si="14" ref="AF9:AP9">+SUM(AF10:AF12)</f>
        <v>0</v>
      </c>
      <c r="AG9" s="122">
        <f t="shared" si="14"/>
        <v>0</v>
      </c>
      <c r="AH9" s="122">
        <f t="shared" si="14"/>
        <v>0</v>
      </c>
      <c r="AI9" s="122">
        <f t="shared" si="14"/>
        <v>0</v>
      </c>
      <c r="AJ9" s="122">
        <f t="shared" si="14"/>
        <v>0</v>
      </c>
      <c r="AK9" s="122">
        <f t="shared" si="14"/>
        <v>0</v>
      </c>
      <c r="AL9" s="122">
        <f t="shared" si="14"/>
        <v>0</v>
      </c>
      <c r="AM9" s="122">
        <f t="shared" si="14"/>
        <v>0</v>
      </c>
      <c r="AN9" s="123">
        <f t="shared" si="14"/>
        <v>0</v>
      </c>
      <c r="AO9" s="121">
        <f t="shared" si="14"/>
        <v>0</v>
      </c>
      <c r="AP9" s="122">
        <f t="shared" si="14"/>
        <v>0</v>
      </c>
      <c r="AQ9" s="122">
        <f aca="true" t="shared" si="15" ref="AQ9:BB9">+SUM(AQ10:AQ12)</f>
        <v>0</v>
      </c>
      <c r="AR9" s="122">
        <f t="shared" si="15"/>
        <v>0</v>
      </c>
      <c r="AS9" s="122">
        <f t="shared" si="15"/>
        <v>0</v>
      </c>
      <c r="AT9" s="122">
        <f t="shared" si="15"/>
        <v>0</v>
      </c>
      <c r="AU9" s="122">
        <f t="shared" si="15"/>
        <v>0</v>
      </c>
      <c r="AV9" s="122">
        <f t="shared" si="15"/>
        <v>0</v>
      </c>
      <c r="AW9" s="122">
        <f t="shared" si="15"/>
        <v>0</v>
      </c>
      <c r="AX9" s="122">
        <f t="shared" si="15"/>
        <v>0</v>
      </c>
      <c r="AY9" s="122">
        <f t="shared" si="15"/>
        <v>0</v>
      </c>
      <c r="AZ9" s="123">
        <f t="shared" si="15"/>
        <v>0</v>
      </c>
      <c r="BA9" s="121">
        <f t="shared" si="15"/>
        <v>0</v>
      </c>
      <c r="BB9" s="122">
        <f t="shared" si="15"/>
        <v>0</v>
      </c>
      <c r="BC9" s="122">
        <f aca="true" t="shared" si="16" ref="BC9:BL9">+SUM(BC10:BC12)</f>
        <v>0</v>
      </c>
      <c r="BD9" s="122">
        <f t="shared" si="16"/>
        <v>0</v>
      </c>
      <c r="BE9" s="122">
        <f t="shared" si="16"/>
        <v>0</v>
      </c>
      <c r="BF9" s="122">
        <f t="shared" si="16"/>
        <v>0</v>
      </c>
      <c r="BG9" s="122">
        <f t="shared" si="16"/>
        <v>0</v>
      </c>
      <c r="BH9" s="122">
        <f t="shared" si="16"/>
        <v>0</v>
      </c>
      <c r="BI9" s="122">
        <f t="shared" si="16"/>
        <v>0</v>
      </c>
      <c r="BJ9" s="122">
        <f t="shared" si="16"/>
        <v>0</v>
      </c>
      <c r="BK9" s="122">
        <f t="shared" si="16"/>
        <v>0</v>
      </c>
      <c r="BL9" s="123">
        <f t="shared" si="16"/>
        <v>0</v>
      </c>
    </row>
    <row r="10" spans="2:64" s="294" customFormat="1" ht="19.95" customHeight="1">
      <c r="B10" s="293" t="s">
        <v>40</v>
      </c>
      <c r="C10" s="293"/>
      <c r="D10" s="473">
        <v>-28457</v>
      </c>
      <c r="E10" s="295">
        <f>-(WC!F34-WC!E34)</f>
        <v>33.79166666666663</v>
      </c>
      <c r="F10" s="296">
        <f>-(WC!G34-WC!F34)</f>
        <v>33.79166666666663</v>
      </c>
      <c r="G10" s="296">
        <f>-(WC!H34-WC!G34)</f>
        <v>33.79166666666663</v>
      </c>
      <c r="H10" s="296">
        <f>-(WC!I34-WC!H34)</f>
        <v>33.79166666666663</v>
      </c>
      <c r="I10" s="296">
        <f>-(WC!J34-WC!I34)</f>
        <v>33.79166666666663</v>
      </c>
      <c r="J10" s="296">
        <f>-(WC!K34-WC!J34)</f>
        <v>33.791666666666856</v>
      </c>
      <c r="K10" s="296">
        <f>-(WC!L34-WC!K34)</f>
        <v>33.791666666666515</v>
      </c>
      <c r="L10" s="296">
        <f>-(WC!M34-WC!L34)</f>
        <v>33.79166666666663</v>
      </c>
      <c r="M10" s="296">
        <f>-(WC!N34-WC!M34)</f>
        <v>33.791666666666686</v>
      </c>
      <c r="N10" s="296">
        <f>-(WC!O34-WC!N34)</f>
        <v>33.79166666666623</v>
      </c>
      <c r="O10" s="296">
        <f>-(WC!P34-WC!O34)</f>
        <v>33.79166666666606</v>
      </c>
      <c r="P10" s="297">
        <f>-(WC!Q34-WC!P34)</f>
        <v>33.79166666666788</v>
      </c>
      <c r="Q10" s="295">
        <f>-(WC!R34-WC!Q34)</f>
        <v>33.79166666666424</v>
      </c>
      <c r="R10" s="296">
        <f>-(WC!S34-WC!R34)</f>
        <v>33.79166666666424</v>
      </c>
      <c r="S10" s="296">
        <f>-(WC!T34-WC!S34)</f>
        <v>33.79166666666424</v>
      </c>
      <c r="T10" s="296">
        <f>-(WC!U34-WC!T34)</f>
        <v>33.79166666666424</v>
      </c>
      <c r="U10" s="296">
        <f>-(WC!V34-WC!U34)</f>
        <v>33.79166666666424</v>
      </c>
      <c r="V10" s="296">
        <f>-(WC!W34-WC!V34)</f>
        <v>33.79166666666424</v>
      </c>
      <c r="W10" s="296">
        <f>-(WC!X34-WC!W34)</f>
        <v>33.79166666666424</v>
      </c>
      <c r="X10" s="296">
        <f>-(WC!Y34-WC!X34)</f>
        <v>33.79166666666424</v>
      </c>
      <c r="Y10" s="296">
        <f>-(WC!Z34-WC!Y34)</f>
        <v>33.79166666666424</v>
      </c>
      <c r="Z10" s="296">
        <f>-(WC!AA34-WC!Z34)</f>
        <v>33.79166666666424</v>
      </c>
      <c r="AA10" s="296">
        <f>-(WC!AB34-WC!AA34)</f>
        <v>33.79166666666424</v>
      </c>
      <c r="AB10" s="297">
        <f>-(WC!AC34-WC!AB34)</f>
        <v>33.791666666693345</v>
      </c>
      <c r="AC10" s="295">
        <f>-(WC!AD34-WC!AC34)</f>
        <v>0</v>
      </c>
      <c r="AD10" s="296">
        <f>-(WC!AE34-WC!AD34)</f>
        <v>0</v>
      </c>
      <c r="AE10" s="296">
        <f>-(WC!AF34-WC!AE34)</f>
        <v>0</v>
      </c>
      <c r="AF10" s="296">
        <f>-(WC!AG34-WC!AF34)</f>
        <v>0</v>
      </c>
      <c r="AG10" s="296">
        <f>-(WC!AH34-WC!AG34)</f>
        <v>0</v>
      </c>
      <c r="AH10" s="296">
        <f>-(WC!AI34-WC!AH34)</f>
        <v>0</v>
      </c>
      <c r="AI10" s="296">
        <f>-(WC!AJ34-WC!AI34)</f>
        <v>0</v>
      </c>
      <c r="AJ10" s="296">
        <f>-(WC!AK34-WC!AJ34)</f>
        <v>0</v>
      </c>
      <c r="AK10" s="296">
        <f>-(WC!AL34-WC!AK34)</f>
        <v>0</v>
      </c>
      <c r="AL10" s="296">
        <f>-(WC!AM34-WC!AL34)</f>
        <v>0</v>
      </c>
      <c r="AM10" s="296">
        <f>-(WC!AN34-WC!AM34)</f>
        <v>0</v>
      </c>
      <c r="AN10" s="297">
        <f>-(WC!AO34-WC!AN34)</f>
        <v>0</v>
      </c>
      <c r="AO10" s="295">
        <f>-(WC!AP34-WC!AO34)</f>
        <v>0</v>
      </c>
      <c r="AP10" s="296">
        <f>-(WC!AQ34-WC!AP34)</f>
        <v>0</v>
      </c>
      <c r="AQ10" s="296">
        <f>-(WC!AR34-WC!AQ34)</f>
        <v>0</v>
      </c>
      <c r="AR10" s="296">
        <f>-(WC!AS34-WC!AR34)</f>
        <v>0</v>
      </c>
      <c r="AS10" s="296">
        <f>-(WC!AT34-WC!AS34)</f>
        <v>0</v>
      </c>
      <c r="AT10" s="296">
        <f>-(WC!AU34-WC!AT34)</f>
        <v>0</v>
      </c>
      <c r="AU10" s="296">
        <f>-(WC!AV34-WC!AU34)</f>
        <v>0</v>
      </c>
      <c r="AV10" s="296">
        <f>-(WC!AW34-WC!AV34)</f>
        <v>0</v>
      </c>
      <c r="AW10" s="296">
        <f>-(WC!AX34-WC!AW34)</f>
        <v>0</v>
      </c>
      <c r="AX10" s="296">
        <f>-(WC!AY34-WC!AX34)</f>
        <v>0</v>
      </c>
      <c r="AY10" s="296">
        <f>-(WC!AZ34-WC!AY34)</f>
        <v>0</v>
      </c>
      <c r="AZ10" s="297">
        <f>-(WC!BA34-WC!AZ34)</f>
        <v>0</v>
      </c>
      <c r="BA10" s="295">
        <f>-(WC!BB34-WC!BA34)</f>
        <v>0</v>
      </c>
      <c r="BB10" s="296">
        <f>-(WC!BC34-WC!BB34)</f>
        <v>0</v>
      </c>
      <c r="BC10" s="296">
        <f>-(WC!BD34-WC!BC34)</f>
        <v>0</v>
      </c>
      <c r="BD10" s="296">
        <f>-(WC!BE34-WC!BD34)</f>
        <v>0</v>
      </c>
      <c r="BE10" s="296">
        <f>-(WC!BF34-WC!BE34)</f>
        <v>0</v>
      </c>
      <c r="BF10" s="296">
        <f>-(WC!BG34-WC!BF34)</f>
        <v>0</v>
      </c>
      <c r="BG10" s="296">
        <f>-(WC!BH34-WC!BG34)</f>
        <v>0</v>
      </c>
      <c r="BH10" s="296">
        <f>-(WC!BI34-WC!BH34)</f>
        <v>0</v>
      </c>
      <c r="BI10" s="296">
        <f>-(WC!BJ34-WC!BI34)</f>
        <v>0</v>
      </c>
      <c r="BJ10" s="296">
        <f>-(WC!BK34-WC!BJ34)</f>
        <v>0</v>
      </c>
      <c r="BK10" s="296">
        <f>-(WC!BL34-WC!BK34)</f>
        <v>0</v>
      </c>
      <c r="BL10" s="297">
        <f>-(WC!BM34-WC!BL34)</f>
        <v>0</v>
      </c>
    </row>
    <row r="11" spans="2:64" s="294" customFormat="1" ht="19.95" customHeight="1">
      <c r="B11" s="293" t="s">
        <v>28</v>
      </c>
      <c r="C11" s="293"/>
      <c r="D11" s="473">
        <v>1801</v>
      </c>
      <c r="E11" s="295">
        <f>+(WC!F36-WC!E36)</f>
        <v>-117</v>
      </c>
      <c r="F11" s="296">
        <f>+(WC!G36-WC!F36)</f>
        <v>-117</v>
      </c>
      <c r="G11" s="296">
        <f>+(WC!H36-WC!G36)</f>
        <v>-117</v>
      </c>
      <c r="H11" s="296">
        <f>+(WC!I36-WC!H36)</f>
        <v>-117</v>
      </c>
      <c r="I11" s="296">
        <f>+(WC!J36-WC!I36)</f>
        <v>-117</v>
      </c>
      <c r="J11" s="296">
        <f>+(WC!K36-WC!J36)</f>
        <v>-117</v>
      </c>
      <c r="K11" s="296">
        <f>+(WC!L36-WC!K36)</f>
        <v>-117</v>
      </c>
      <c r="L11" s="296">
        <f>+(WC!M36-WC!L36)</f>
        <v>-117.00000000000023</v>
      </c>
      <c r="M11" s="296">
        <f>+(WC!N36-WC!M36)</f>
        <v>-116.99999999999977</v>
      </c>
      <c r="N11" s="296">
        <f>+(WC!O36-WC!N36)</f>
        <v>-117</v>
      </c>
      <c r="O11" s="296">
        <f>+(WC!P36-WC!O36)</f>
        <v>-117</v>
      </c>
      <c r="P11" s="297">
        <f>+(WC!Q36-WC!P36)</f>
        <v>-117</v>
      </c>
      <c r="Q11" s="295">
        <f>+(WC!R36-WC!Q36)</f>
        <v>-117</v>
      </c>
      <c r="R11" s="296">
        <f>+(WC!S36-WC!R36)</f>
        <v>-117</v>
      </c>
      <c r="S11" s="296">
        <f>+(WC!T36-WC!S36)</f>
        <v>-117</v>
      </c>
      <c r="T11" s="296">
        <f>+(WC!U36-WC!T36)</f>
        <v>-117</v>
      </c>
      <c r="U11" s="296">
        <f>+(WC!V36-WC!U36)</f>
        <v>-117</v>
      </c>
      <c r="V11" s="296">
        <f>+(WC!W36-WC!V36)</f>
        <v>-117</v>
      </c>
      <c r="W11" s="296">
        <f>+(WC!X36-WC!W36)</f>
        <v>-117</v>
      </c>
      <c r="X11" s="296">
        <f>+(WC!Y36-WC!X36)</f>
        <v>-117</v>
      </c>
      <c r="Y11" s="296">
        <f>+(WC!Z36-WC!Y36)</f>
        <v>-117</v>
      </c>
      <c r="Z11" s="296">
        <f>+(WC!AA36-WC!Z36)</f>
        <v>-117</v>
      </c>
      <c r="AA11" s="296">
        <f>+(WC!AB36-WC!AA36)</f>
        <v>-117</v>
      </c>
      <c r="AB11" s="297">
        <f>+(WC!AC36-WC!AB36)</f>
        <v>-117</v>
      </c>
      <c r="AC11" s="295">
        <f>+(WC!AD36-WC!AC36)</f>
        <v>0</v>
      </c>
      <c r="AD11" s="296">
        <f>+(WC!AE36-WC!AD36)</f>
        <v>0</v>
      </c>
      <c r="AE11" s="296">
        <f>+(WC!AF36-WC!AE36)</f>
        <v>0</v>
      </c>
      <c r="AF11" s="296">
        <f>+(WC!AG36-WC!AF36)</f>
        <v>0</v>
      </c>
      <c r="AG11" s="296">
        <f>+(WC!AH36-WC!AG36)</f>
        <v>0</v>
      </c>
      <c r="AH11" s="296">
        <f>+(WC!AI36-WC!AH36)</f>
        <v>0</v>
      </c>
      <c r="AI11" s="296">
        <f>+(WC!AJ36-WC!AI36)</f>
        <v>0</v>
      </c>
      <c r="AJ11" s="296">
        <f>+(WC!AK36-WC!AJ36)</f>
        <v>0</v>
      </c>
      <c r="AK11" s="296">
        <f>+(WC!AL36-WC!AK36)</f>
        <v>0</v>
      </c>
      <c r="AL11" s="296">
        <f>+(WC!AM36-WC!AL36)</f>
        <v>0</v>
      </c>
      <c r="AM11" s="296">
        <f>+(WC!AN36-WC!AM36)</f>
        <v>0</v>
      </c>
      <c r="AN11" s="297">
        <f>+(WC!AO36-WC!AN36)</f>
        <v>0</v>
      </c>
      <c r="AO11" s="295">
        <f>+(WC!AP36-WC!AO36)</f>
        <v>0</v>
      </c>
      <c r="AP11" s="296">
        <f>+(WC!AQ36-WC!AP36)</f>
        <v>0</v>
      </c>
      <c r="AQ11" s="296">
        <f>+(WC!AR36-WC!AQ36)</f>
        <v>0</v>
      </c>
      <c r="AR11" s="296">
        <f>+(WC!AS36-WC!AR36)</f>
        <v>0</v>
      </c>
      <c r="AS11" s="296">
        <f>+(WC!AT36-WC!AS36)</f>
        <v>0</v>
      </c>
      <c r="AT11" s="296">
        <f>+(WC!AU36-WC!AT36)</f>
        <v>0</v>
      </c>
      <c r="AU11" s="296">
        <f>+(WC!AV36-WC!AU36)</f>
        <v>0</v>
      </c>
      <c r="AV11" s="296">
        <f>+(WC!AW36-WC!AV36)</f>
        <v>0</v>
      </c>
      <c r="AW11" s="296">
        <f>+(WC!AX36-WC!AW36)</f>
        <v>0</v>
      </c>
      <c r="AX11" s="296">
        <f>+(WC!AY36-WC!AX36)</f>
        <v>0</v>
      </c>
      <c r="AY11" s="296">
        <f>+(WC!AZ36-WC!AY36)</f>
        <v>0</v>
      </c>
      <c r="AZ11" s="297">
        <f>+(WC!BA36-WC!AZ36)</f>
        <v>0</v>
      </c>
      <c r="BA11" s="295">
        <f>+(WC!BB36-WC!BA36)</f>
        <v>0</v>
      </c>
      <c r="BB11" s="296">
        <f>+(WC!BC36-WC!BB36)</f>
        <v>0</v>
      </c>
      <c r="BC11" s="296">
        <f>+(WC!BD36-WC!BC36)</f>
        <v>0</v>
      </c>
      <c r="BD11" s="296">
        <f>+(WC!BE36-WC!BD36)</f>
        <v>0</v>
      </c>
      <c r="BE11" s="296">
        <f>+(WC!BF36-WC!BE36)</f>
        <v>0</v>
      </c>
      <c r="BF11" s="296">
        <f>+(WC!BG36-WC!BF36)</f>
        <v>0</v>
      </c>
      <c r="BG11" s="296">
        <f>+(WC!BH36-WC!BG36)</f>
        <v>0</v>
      </c>
      <c r="BH11" s="296">
        <f>+(WC!BI36-WC!BH36)</f>
        <v>0</v>
      </c>
      <c r="BI11" s="296">
        <f>+(WC!BJ36-WC!BI36)</f>
        <v>0</v>
      </c>
      <c r="BJ11" s="296">
        <f>+(WC!BK36-WC!BJ36)</f>
        <v>0</v>
      </c>
      <c r="BK11" s="296">
        <f>+(WC!BL36-WC!BK36)</f>
        <v>0</v>
      </c>
      <c r="BL11" s="297">
        <f>+(WC!BM36-WC!BL36)</f>
        <v>0</v>
      </c>
    </row>
    <row r="12" spans="2:64" s="294" customFormat="1" ht="19.95" customHeight="1">
      <c r="B12" s="293" t="s">
        <v>29</v>
      </c>
      <c r="C12" s="293"/>
      <c r="D12" s="473">
        <v>0</v>
      </c>
      <c r="E12" s="966">
        <f>-(WC!F37-WC!E37)</f>
        <v>0</v>
      </c>
      <c r="F12" s="296">
        <f>-(WC!G37-WC!F37)</f>
        <v>0</v>
      </c>
      <c r="G12" s="296">
        <f>-(WC!H37-WC!G37)</f>
        <v>0</v>
      </c>
      <c r="H12" s="296">
        <f>-(WC!I37-WC!H37)</f>
        <v>0</v>
      </c>
      <c r="I12" s="296">
        <f>-(WC!J37-WC!I37)</f>
        <v>0</v>
      </c>
      <c r="J12" s="296">
        <f>-(WC!K37-WC!J37)</f>
        <v>0</v>
      </c>
      <c r="K12" s="296">
        <f>-(WC!L37-WC!K37)</f>
        <v>0</v>
      </c>
      <c r="L12" s="296">
        <f>-(WC!M37-WC!L37)</f>
        <v>0</v>
      </c>
      <c r="M12" s="296">
        <f>-(WC!N37-WC!M37)</f>
        <v>0</v>
      </c>
      <c r="N12" s="296">
        <f>-(WC!O37-WC!N37)</f>
        <v>0</v>
      </c>
      <c r="O12" s="296">
        <f>-(WC!P37-WC!O37)</f>
        <v>0</v>
      </c>
      <c r="P12" s="297">
        <f>-(WC!Q37-WC!P37)</f>
        <v>0</v>
      </c>
      <c r="Q12" s="295">
        <f>-(WC!R37-WC!Q37)</f>
        <v>0</v>
      </c>
      <c r="R12" s="296">
        <f>-(WC!S37-WC!R37)</f>
        <v>0</v>
      </c>
      <c r="S12" s="296">
        <f>-(WC!T37-WC!S37)</f>
        <v>0</v>
      </c>
      <c r="T12" s="296">
        <f>-(WC!U37-WC!T37)</f>
        <v>0</v>
      </c>
      <c r="U12" s="296">
        <f>-(WC!V37-WC!U37)</f>
        <v>0</v>
      </c>
      <c r="V12" s="296">
        <f>-(WC!W37-WC!V37)</f>
        <v>0</v>
      </c>
      <c r="W12" s="296">
        <f>-(WC!X37-WC!W37)</f>
        <v>0</v>
      </c>
      <c r="X12" s="296">
        <f>-(WC!Y37-WC!X37)</f>
        <v>0</v>
      </c>
      <c r="Y12" s="296">
        <f>-(WC!Z37-WC!Y37)</f>
        <v>0</v>
      </c>
      <c r="Z12" s="296">
        <f>-(WC!AA37-WC!Z37)</f>
        <v>0</v>
      </c>
      <c r="AA12" s="296">
        <f>-(WC!AB37-WC!AA37)</f>
        <v>0</v>
      </c>
      <c r="AB12" s="297">
        <f>-(WC!AC37-WC!AB37)</f>
        <v>0</v>
      </c>
      <c r="AC12" s="295">
        <f>-(WC!AD37-WC!AC37)</f>
        <v>0</v>
      </c>
      <c r="AD12" s="296">
        <f>-(WC!AE37-WC!AD37)</f>
        <v>0</v>
      </c>
      <c r="AE12" s="296">
        <f>-(WC!AF37-WC!AE37)</f>
        <v>0</v>
      </c>
      <c r="AF12" s="296">
        <f>-(WC!AG37-WC!AF37)</f>
        <v>0</v>
      </c>
      <c r="AG12" s="296">
        <f>-(WC!AH37-WC!AG37)</f>
        <v>0</v>
      </c>
      <c r="AH12" s="296">
        <f>-(WC!AI37-WC!AH37)</f>
        <v>0</v>
      </c>
      <c r="AI12" s="296">
        <f>-(WC!AJ37-WC!AI37)</f>
        <v>0</v>
      </c>
      <c r="AJ12" s="296">
        <f>-(WC!AK37-WC!AJ37)</f>
        <v>0</v>
      </c>
      <c r="AK12" s="296">
        <f>-(WC!AL37-WC!AK37)</f>
        <v>0</v>
      </c>
      <c r="AL12" s="296">
        <f>-(WC!AM37-WC!AL37)</f>
        <v>0</v>
      </c>
      <c r="AM12" s="296">
        <f>-(WC!AN37-WC!AM37)</f>
        <v>0</v>
      </c>
      <c r="AN12" s="297">
        <f>-(WC!AO37-WC!AN37)</f>
        <v>0</v>
      </c>
      <c r="AO12" s="295">
        <f>-(WC!AP37-WC!AO37)</f>
        <v>0</v>
      </c>
      <c r="AP12" s="296">
        <f>-(WC!AQ37-WC!AP37)</f>
        <v>0</v>
      </c>
      <c r="AQ12" s="296">
        <f>-(WC!AR37-WC!AQ37)</f>
        <v>0</v>
      </c>
      <c r="AR12" s="296">
        <f>-(WC!AS37-WC!AR37)</f>
        <v>0</v>
      </c>
      <c r="AS12" s="296">
        <f>-(WC!AT37-WC!AS37)</f>
        <v>0</v>
      </c>
      <c r="AT12" s="296">
        <f>-(WC!AU37-WC!AT37)</f>
        <v>0</v>
      </c>
      <c r="AU12" s="296">
        <f>-(WC!AV37-WC!AU37)</f>
        <v>0</v>
      </c>
      <c r="AV12" s="296">
        <f>-(WC!AW37-WC!AV37)</f>
        <v>0</v>
      </c>
      <c r="AW12" s="296">
        <f>-(WC!AX37-WC!AW37)</f>
        <v>0</v>
      </c>
      <c r="AX12" s="296">
        <f>-(WC!AY37-WC!AX37)</f>
        <v>0</v>
      </c>
      <c r="AY12" s="296">
        <f>-(WC!AZ37-WC!AY37)</f>
        <v>0</v>
      </c>
      <c r="AZ12" s="297">
        <f>-(WC!BA37-WC!AZ37)</f>
        <v>0</v>
      </c>
      <c r="BA12" s="295">
        <f>-(WC!BB37-WC!BA37)</f>
        <v>0</v>
      </c>
      <c r="BB12" s="296">
        <f>-(WC!BC37-WC!BB37)</f>
        <v>0</v>
      </c>
      <c r="BC12" s="296">
        <f>-(WC!BD37-WC!BC37)</f>
        <v>0</v>
      </c>
      <c r="BD12" s="296">
        <f>-(WC!BE37-WC!BD37)</f>
        <v>0</v>
      </c>
      <c r="BE12" s="296">
        <f>-(WC!BF37-WC!BE37)</f>
        <v>0</v>
      </c>
      <c r="BF12" s="296">
        <f>-(WC!BG37-WC!BF37)</f>
        <v>0</v>
      </c>
      <c r="BG12" s="296">
        <f>-(WC!BH37-WC!BG37)</f>
        <v>0</v>
      </c>
      <c r="BH12" s="296">
        <f>-(WC!BI37-WC!BH37)</f>
        <v>0</v>
      </c>
      <c r="BI12" s="296">
        <f>-(WC!BJ37-WC!BI37)</f>
        <v>0</v>
      </c>
      <c r="BJ12" s="296">
        <f>-(WC!BK37-WC!BJ37)</f>
        <v>0</v>
      </c>
      <c r="BK12" s="296">
        <f>-(WC!BL37-WC!BK37)</f>
        <v>0</v>
      </c>
      <c r="BL12" s="297">
        <f>-(WC!BM37-WC!BL37)</f>
        <v>0</v>
      </c>
    </row>
    <row r="13" spans="2:64" ht="19.95" customHeight="1">
      <c r="B13" s="291" t="s">
        <v>41</v>
      </c>
      <c r="C13" s="291"/>
      <c r="D13" s="123">
        <f>+SUM(D14:D16)</f>
        <v>-83128</v>
      </c>
      <c r="E13" s="121">
        <f aca="true" t="shared" si="17" ref="E13:S13">+SUM(E14:E16)</f>
        <v>-3000</v>
      </c>
      <c r="F13" s="122">
        <f t="shared" si="17"/>
        <v>0</v>
      </c>
      <c r="G13" s="122">
        <f t="shared" si="17"/>
        <v>0</v>
      </c>
      <c r="H13" s="122">
        <f t="shared" si="17"/>
        <v>0</v>
      </c>
      <c r="I13" s="122">
        <f t="shared" si="17"/>
        <v>0</v>
      </c>
      <c r="J13" s="122">
        <f t="shared" si="17"/>
        <v>0</v>
      </c>
      <c r="K13" s="122">
        <f t="shared" si="17"/>
        <v>0</v>
      </c>
      <c r="L13" s="122">
        <f t="shared" si="17"/>
        <v>0</v>
      </c>
      <c r="M13" s="122">
        <f>+SUM(M14:M16)</f>
        <v>0</v>
      </c>
      <c r="N13" s="122">
        <f t="shared" si="17"/>
        <v>-10000</v>
      </c>
      <c r="O13" s="122">
        <f t="shared" si="17"/>
        <v>0</v>
      </c>
      <c r="P13" s="123">
        <f t="shared" si="17"/>
        <v>0</v>
      </c>
      <c r="Q13" s="121">
        <f t="shared" si="17"/>
        <v>-26294.95679012346</v>
      </c>
      <c r="R13" s="122">
        <f t="shared" si="17"/>
        <v>-2294.9567901234586</v>
      </c>
      <c r="S13" s="122">
        <f t="shared" si="17"/>
        <v>-2294.9567901234586</v>
      </c>
      <c r="T13" s="122">
        <f aca="true" t="shared" si="18" ref="T13:AE13">+SUM(T14:T16)</f>
        <v>-2294.9567901234586</v>
      </c>
      <c r="U13" s="122">
        <f t="shared" si="18"/>
        <v>-2294.9567901234586</v>
      </c>
      <c r="V13" s="122">
        <f t="shared" si="18"/>
        <v>-2294.9567901234586</v>
      </c>
      <c r="W13" s="122">
        <f t="shared" si="18"/>
        <v>-2294.9567901234586</v>
      </c>
      <c r="X13" s="122">
        <f t="shared" si="18"/>
        <v>-2294.9567901234586</v>
      </c>
      <c r="Y13" s="122">
        <f t="shared" si="18"/>
        <v>-2294.9567901234586</v>
      </c>
      <c r="Z13" s="122">
        <f t="shared" si="18"/>
        <v>-2294.9567901234586</v>
      </c>
      <c r="AA13" s="122">
        <f t="shared" si="18"/>
        <v>-2294.9567901234586</v>
      </c>
      <c r="AB13" s="123">
        <f t="shared" si="18"/>
        <v>-2294.9567901234586</v>
      </c>
      <c r="AC13" s="121">
        <f t="shared" si="18"/>
        <v>-39589.91358024691</v>
      </c>
      <c r="AD13" s="122">
        <f t="shared" si="18"/>
        <v>-4589.913580246914</v>
      </c>
      <c r="AE13" s="122">
        <f t="shared" si="18"/>
        <v>-4589.913580246914</v>
      </c>
      <c r="AF13" s="122">
        <f aca="true" t="shared" si="19" ref="AF13:AQ13">+SUM(AF14:AF16)</f>
        <v>-4589.913580246914</v>
      </c>
      <c r="AG13" s="122">
        <f t="shared" si="19"/>
        <v>-4589.913580246914</v>
      </c>
      <c r="AH13" s="122">
        <f t="shared" si="19"/>
        <v>-4589.913580246914</v>
      </c>
      <c r="AI13" s="122">
        <f t="shared" si="19"/>
        <v>-4589.913580246914</v>
      </c>
      <c r="AJ13" s="122">
        <f t="shared" si="19"/>
        <v>-4589.913580246914</v>
      </c>
      <c r="AK13" s="122">
        <f t="shared" si="19"/>
        <v>-4589.913580246914</v>
      </c>
      <c r="AL13" s="122">
        <f t="shared" si="19"/>
        <v>-4589.913580246914</v>
      </c>
      <c r="AM13" s="122">
        <f t="shared" si="19"/>
        <v>-4589.913580246914</v>
      </c>
      <c r="AN13" s="123">
        <f t="shared" si="19"/>
        <v>-4589.913580246914</v>
      </c>
      <c r="AO13" s="121">
        <f t="shared" si="19"/>
        <v>-50589.91358024691</v>
      </c>
      <c r="AP13" s="122">
        <f t="shared" si="19"/>
        <v>-4589.913580246914</v>
      </c>
      <c r="AQ13" s="122">
        <f t="shared" si="19"/>
        <v>-4589.913580246914</v>
      </c>
      <c r="AR13" s="122">
        <f aca="true" t="shared" si="20" ref="AR13:BC13">+SUM(AR14:AR16)</f>
        <v>-4589.913580246914</v>
      </c>
      <c r="AS13" s="122">
        <f t="shared" si="20"/>
        <v>-4589.913580246914</v>
      </c>
      <c r="AT13" s="122">
        <f t="shared" si="20"/>
        <v>-4589.913580246914</v>
      </c>
      <c r="AU13" s="122">
        <f t="shared" si="20"/>
        <v>-4589.913580246914</v>
      </c>
      <c r="AV13" s="122">
        <f t="shared" si="20"/>
        <v>-4589.913580246914</v>
      </c>
      <c r="AW13" s="122">
        <f t="shared" si="20"/>
        <v>-4589.913580246914</v>
      </c>
      <c r="AX13" s="122">
        <f t="shared" si="20"/>
        <v>-4589.913580246914</v>
      </c>
      <c r="AY13" s="122">
        <f t="shared" si="20"/>
        <v>-4589.913580246914</v>
      </c>
      <c r="AZ13" s="123">
        <f t="shared" si="20"/>
        <v>-4589.913580246914</v>
      </c>
      <c r="BA13" s="121">
        <f t="shared" si="20"/>
        <v>-51589.91358024691</v>
      </c>
      <c r="BB13" s="122">
        <f t="shared" si="20"/>
        <v>-4589.913580246914</v>
      </c>
      <c r="BC13" s="122">
        <f t="shared" si="20"/>
        <v>-4589.913580246914</v>
      </c>
      <c r="BD13" s="122">
        <f aca="true" t="shared" si="21" ref="BD13:BL13">+SUM(BD14:BD16)</f>
        <v>-4589.913580246914</v>
      </c>
      <c r="BE13" s="122">
        <f t="shared" si="21"/>
        <v>-4589.913580246914</v>
      </c>
      <c r="BF13" s="122">
        <f t="shared" si="21"/>
        <v>-4589.913580246914</v>
      </c>
      <c r="BG13" s="122">
        <f t="shared" si="21"/>
        <v>-4589.913580246914</v>
      </c>
      <c r="BH13" s="122">
        <f t="shared" si="21"/>
        <v>-4589.913580246914</v>
      </c>
      <c r="BI13" s="122">
        <f t="shared" si="21"/>
        <v>-4589.913580246914</v>
      </c>
      <c r="BJ13" s="122">
        <f t="shared" si="21"/>
        <v>-4589.913580246914</v>
      </c>
      <c r="BK13" s="122">
        <f t="shared" si="21"/>
        <v>-4589.913580246914</v>
      </c>
      <c r="BL13" s="123">
        <f t="shared" si="21"/>
        <v>-4589.913580246914</v>
      </c>
    </row>
    <row r="14" spans="2:64" s="294" customFormat="1" ht="19.95" customHeight="1">
      <c r="B14" s="293" t="s">
        <v>37</v>
      </c>
      <c r="C14" s="293"/>
      <c r="D14" s="473">
        <v>-83128</v>
      </c>
      <c r="E14" s="295">
        <f>-'D&amp;A'!E8</f>
        <v>-3000</v>
      </c>
      <c r="F14" s="296">
        <f>-'D&amp;A'!F8</f>
        <v>0</v>
      </c>
      <c r="G14" s="296">
        <f>-'D&amp;A'!G8</f>
        <v>0</v>
      </c>
      <c r="H14" s="296">
        <f>-'D&amp;A'!H8</f>
        <v>0</v>
      </c>
      <c r="I14" s="296">
        <f>-'D&amp;A'!I8</f>
        <v>0</v>
      </c>
      <c r="J14" s="296">
        <f>-'D&amp;A'!J8</f>
        <v>0</v>
      </c>
      <c r="K14" s="296">
        <f>-'D&amp;A'!K8</f>
        <v>0</v>
      </c>
      <c r="L14" s="296">
        <f>-'D&amp;A'!L8</f>
        <v>0</v>
      </c>
      <c r="M14" s="296">
        <f>-'D&amp;A'!M8</f>
        <v>0</v>
      </c>
      <c r="N14" s="296">
        <f>-'D&amp;A'!N8</f>
        <v>-10000</v>
      </c>
      <c r="O14" s="296">
        <f>-'D&amp;A'!O8</f>
        <v>0</v>
      </c>
      <c r="P14" s="297">
        <f>-'D&amp;A'!P8</f>
        <v>0</v>
      </c>
      <c r="Q14" s="295">
        <f>-'D&amp;A'!Q8</f>
        <v>-26294.95679012346</v>
      </c>
      <c r="R14" s="296">
        <f>-'D&amp;A'!R8</f>
        <v>-2294.9567901234586</v>
      </c>
      <c r="S14" s="296">
        <f>-'D&amp;A'!S8</f>
        <v>-2294.9567901234586</v>
      </c>
      <c r="T14" s="296">
        <f>-'D&amp;A'!T8</f>
        <v>-2294.9567901234586</v>
      </c>
      <c r="U14" s="296">
        <f>-'D&amp;A'!U8</f>
        <v>-2294.9567901234586</v>
      </c>
      <c r="V14" s="296">
        <f>-'D&amp;A'!V8</f>
        <v>-2294.9567901234586</v>
      </c>
      <c r="W14" s="296">
        <f>-'D&amp;A'!W8</f>
        <v>-2294.9567901234586</v>
      </c>
      <c r="X14" s="296">
        <f>-'D&amp;A'!X8</f>
        <v>-2294.9567901234586</v>
      </c>
      <c r="Y14" s="296">
        <f>-'D&amp;A'!Y8</f>
        <v>-2294.9567901234586</v>
      </c>
      <c r="Z14" s="296">
        <f>-'D&amp;A'!Z8</f>
        <v>-2294.9567901234586</v>
      </c>
      <c r="AA14" s="296">
        <f>-'D&amp;A'!AA8</f>
        <v>-2294.9567901234586</v>
      </c>
      <c r="AB14" s="297">
        <f>-'D&amp;A'!AB8</f>
        <v>-2294.9567901234586</v>
      </c>
      <c r="AC14" s="295">
        <f>-'D&amp;A'!AC8</f>
        <v>-39589.91358024691</v>
      </c>
      <c r="AD14" s="296">
        <f>-'D&amp;A'!AD8</f>
        <v>-4589.913580246914</v>
      </c>
      <c r="AE14" s="296">
        <f>-'D&amp;A'!AE8</f>
        <v>-4589.913580246914</v>
      </c>
      <c r="AF14" s="296">
        <f>-'D&amp;A'!AF8</f>
        <v>-4589.913580246914</v>
      </c>
      <c r="AG14" s="296">
        <f>-'D&amp;A'!AG8</f>
        <v>-4589.913580246914</v>
      </c>
      <c r="AH14" s="296">
        <f>-'D&amp;A'!AH8</f>
        <v>-4589.913580246914</v>
      </c>
      <c r="AI14" s="296">
        <f>-'D&amp;A'!AI8</f>
        <v>-4589.913580246914</v>
      </c>
      <c r="AJ14" s="296">
        <f>-'D&amp;A'!AJ8</f>
        <v>-4589.913580246914</v>
      </c>
      <c r="AK14" s="296">
        <f>-'D&amp;A'!AK8</f>
        <v>-4589.913580246914</v>
      </c>
      <c r="AL14" s="296">
        <f>-'D&amp;A'!AL8</f>
        <v>-4589.913580246914</v>
      </c>
      <c r="AM14" s="296">
        <f>-'D&amp;A'!AM8</f>
        <v>-4589.913580246914</v>
      </c>
      <c r="AN14" s="297">
        <f>-'D&amp;A'!AN8</f>
        <v>-4589.913580246914</v>
      </c>
      <c r="AO14" s="295">
        <f>-'D&amp;A'!AO8</f>
        <v>-50589.91358024691</v>
      </c>
      <c r="AP14" s="296">
        <f>-'D&amp;A'!AP8</f>
        <v>-4589.913580246914</v>
      </c>
      <c r="AQ14" s="296">
        <f>-'D&amp;A'!AQ8</f>
        <v>-4589.913580246914</v>
      </c>
      <c r="AR14" s="296">
        <f>-'D&amp;A'!AR8</f>
        <v>-4589.913580246914</v>
      </c>
      <c r="AS14" s="296">
        <f>-'D&amp;A'!AS8</f>
        <v>-4589.913580246914</v>
      </c>
      <c r="AT14" s="296">
        <f>-'D&amp;A'!AT8</f>
        <v>-4589.913580246914</v>
      </c>
      <c r="AU14" s="296">
        <f>-'D&amp;A'!AU8</f>
        <v>-4589.913580246914</v>
      </c>
      <c r="AV14" s="296">
        <f>-'D&amp;A'!AV8</f>
        <v>-4589.913580246914</v>
      </c>
      <c r="AW14" s="296">
        <f>-'D&amp;A'!AW8</f>
        <v>-4589.913580246914</v>
      </c>
      <c r="AX14" s="296">
        <f>-'D&amp;A'!AX8</f>
        <v>-4589.913580246914</v>
      </c>
      <c r="AY14" s="296">
        <f>-'D&amp;A'!AY8</f>
        <v>-4589.913580246914</v>
      </c>
      <c r="AZ14" s="297">
        <f>-'D&amp;A'!AZ8</f>
        <v>-4589.913580246914</v>
      </c>
      <c r="BA14" s="295">
        <f>-'D&amp;A'!BA8</f>
        <v>-51589.91358024691</v>
      </c>
      <c r="BB14" s="296">
        <f>-'D&amp;A'!BB8</f>
        <v>-4589.913580246914</v>
      </c>
      <c r="BC14" s="296">
        <f>-'D&amp;A'!BC8</f>
        <v>-4589.913580246914</v>
      </c>
      <c r="BD14" s="296">
        <f>-'D&amp;A'!BD8</f>
        <v>-4589.913580246914</v>
      </c>
      <c r="BE14" s="296">
        <f>-'D&amp;A'!BE8</f>
        <v>-4589.913580246914</v>
      </c>
      <c r="BF14" s="296">
        <f>-'D&amp;A'!BF8</f>
        <v>-4589.913580246914</v>
      </c>
      <c r="BG14" s="296">
        <f>-'D&amp;A'!BG8</f>
        <v>-4589.913580246914</v>
      </c>
      <c r="BH14" s="296">
        <f>-'D&amp;A'!BH8</f>
        <v>-4589.913580246914</v>
      </c>
      <c r="BI14" s="296">
        <f>-'D&amp;A'!BI8</f>
        <v>-4589.913580246914</v>
      </c>
      <c r="BJ14" s="296">
        <f>-'D&amp;A'!BJ8</f>
        <v>-4589.913580246914</v>
      </c>
      <c r="BK14" s="296">
        <f>-'D&amp;A'!BK8</f>
        <v>-4589.913580246914</v>
      </c>
      <c r="BL14" s="297">
        <f>-'D&amp;A'!BL8</f>
        <v>-4589.913580246914</v>
      </c>
    </row>
    <row r="15" spans="2:64" s="294" customFormat="1" ht="19.95" customHeight="1">
      <c r="B15" s="293" t="s">
        <v>42</v>
      </c>
      <c r="C15" s="293"/>
      <c r="D15" s="473">
        <v>0</v>
      </c>
      <c r="E15" s="295">
        <f>-'D&amp;A'!E37</f>
        <v>0</v>
      </c>
      <c r="F15" s="296">
        <f>-'D&amp;A'!F37</f>
        <v>0</v>
      </c>
      <c r="G15" s="296">
        <f>-'D&amp;A'!G37</f>
        <v>0</v>
      </c>
      <c r="H15" s="296">
        <f>-'D&amp;A'!H37</f>
        <v>0</v>
      </c>
      <c r="I15" s="296">
        <f>-'D&amp;A'!I37</f>
        <v>0</v>
      </c>
      <c r="J15" s="296">
        <f>-'D&amp;A'!J37</f>
        <v>0</v>
      </c>
      <c r="K15" s="296">
        <f>-'D&amp;A'!K37</f>
        <v>0</v>
      </c>
      <c r="L15" s="296">
        <f>-'D&amp;A'!L37</f>
        <v>0</v>
      </c>
      <c r="M15" s="296">
        <f>-'D&amp;A'!M37</f>
        <v>0</v>
      </c>
      <c r="N15" s="296">
        <f>-'D&amp;A'!N37</f>
        <v>0</v>
      </c>
      <c r="O15" s="296">
        <f>-'D&amp;A'!O37</f>
        <v>0</v>
      </c>
      <c r="P15" s="297">
        <f>-'D&amp;A'!P37</f>
        <v>0</v>
      </c>
      <c r="Q15" s="295">
        <f>-'D&amp;A'!Q37</f>
        <v>0</v>
      </c>
      <c r="R15" s="296">
        <f>-'D&amp;A'!R37</f>
        <v>0</v>
      </c>
      <c r="S15" s="296">
        <f>-'D&amp;A'!S37</f>
        <v>0</v>
      </c>
      <c r="T15" s="296">
        <f>-'D&amp;A'!T37</f>
        <v>0</v>
      </c>
      <c r="U15" s="296">
        <f>-'D&amp;A'!U37</f>
        <v>0</v>
      </c>
      <c r="V15" s="296">
        <f>-'D&amp;A'!V37</f>
        <v>0</v>
      </c>
      <c r="W15" s="296">
        <f>-'D&amp;A'!W37</f>
        <v>0</v>
      </c>
      <c r="X15" s="296">
        <f>-'D&amp;A'!X37</f>
        <v>0</v>
      </c>
      <c r="Y15" s="296">
        <f>-'D&amp;A'!Y37</f>
        <v>0</v>
      </c>
      <c r="Z15" s="296">
        <f>-'D&amp;A'!Z37</f>
        <v>0</v>
      </c>
      <c r="AA15" s="296">
        <f>-'D&amp;A'!AA37</f>
        <v>0</v>
      </c>
      <c r="AB15" s="297">
        <f>-'D&amp;A'!AB37</f>
        <v>0</v>
      </c>
      <c r="AC15" s="295">
        <f>-'D&amp;A'!AC37</f>
        <v>0</v>
      </c>
      <c r="AD15" s="296">
        <f>-'D&amp;A'!AD37</f>
        <v>0</v>
      </c>
      <c r="AE15" s="296">
        <f>-'D&amp;A'!AE37</f>
        <v>0</v>
      </c>
      <c r="AF15" s="296">
        <f>-'D&amp;A'!AF37</f>
        <v>0</v>
      </c>
      <c r="AG15" s="296">
        <f>-'D&amp;A'!AG37</f>
        <v>0</v>
      </c>
      <c r="AH15" s="296">
        <f>-'D&amp;A'!AH37</f>
        <v>0</v>
      </c>
      <c r="AI15" s="296">
        <f>-'D&amp;A'!AI37</f>
        <v>0</v>
      </c>
      <c r="AJ15" s="296">
        <f>-'D&amp;A'!AJ37</f>
        <v>0</v>
      </c>
      <c r="AK15" s="296">
        <f>-'D&amp;A'!AK37</f>
        <v>0</v>
      </c>
      <c r="AL15" s="296">
        <f>-'D&amp;A'!AL37</f>
        <v>0</v>
      </c>
      <c r="AM15" s="296">
        <f>-'D&amp;A'!AM37</f>
        <v>0</v>
      </c>
      <c r="AN15" s="297">
        <f>-'D&amp;A'!AN37</f>
        <v>0</v>
      </c>
      <c r="AO15" s="295">
        <f>-'D&amp;A'!AO37</f>
        <v>0</v>
      </c>
      <c r="AP15" s="296">
        <f>-'D&amp;A'!AP37</f>
        <v>0</v>
      </c>
      <c r="AQ15" s="296">
        <f>-'D&amp;A'!AQ37</f>
        <v>0</v>
      </c>
      <c r="AR15" s="296">
        <f>-'D&amp;A'!AR37</f>
        <v>0</v>
      </c>
      <c r="AS15" s="296">
        <f>-'D&amp;A'!AS37</f>
        <v>0</v>
      </c>
      <c r="AT15" s="296">
        <f>-'D&amp;A'!AT37</f>
        <v>0</v>
      </c>
      <c r="AU15" s="296">
        <f>-'D&amp;A'!AU37</f>
        <v>0</v>
      </c>
      <c r="AV15" s="296">
        <f>-'D&amp;A'!AV37</f>
        <v>0</v>
      </c>
      <c r="AW15" s="296">
        <f>-'D&amp;A'!AW37</f>
        <v>0</v>
      </c>
      <c r="AX15" s="296">
        <f>-'D&amp;A'!AX37</f>
        <v>0</v>
      </c>
      <c r="AY15" s="296">
        <f>-'D&amp;A'!AY37</f>
        <v>0</v>
      </c>
      <c r="AZ15" s="297">
        <f>-'D&amp;A'!AZ37</f>
        <v>0</v>
      </c>
      <c r="BA15" s="295">
        <f>-'D&amp;A'!BA37</f>
        <v>0</v>
      </c>
      <c r="BB15" s="296">
        <f>-'D&amp;A'!BB37</f>
        <v>0</v>
      </c>
      <c r="BC15" s="296">
        <f>-'D&amp;A'!BC37</f>
        <v>0</v>
      </c>
      <c r="BD15" s="296">
        <f>-'D&amp;A'!BD37</f>
        <v>0</v>
      </c>
      <c r="BE15" s="296">
        <f>-'D&amp;A'!BE37</f>
        <v>0</v>
      </c>
      <c r="BF15" s="296">
        <f>-'D&amp;A'!BF37</f>
        <v>0</v>
      </c>
      <c r="BG15" s="296">
        <f>-'D&amp;A'!BG37</f>
        <v>0</v>
      </c>
      <c r="BH15" s="296">
        <f>-'D&amp;A'!BH37</f>
        <v>0</v>
      </c>
      <c r="BI15" s="296">
        <f>-'D&amp;A'!BI37</f>
        <v>0</v>
      </c>
      <c r="BJ15" s="296">
        <f>-'D&amp;A'!BJ37</f>
        <v>0</v>
      </c>
      <c r="BK15" s="296">
        <f>-'D&amp;A'!BK37</f>
        <v>0</v>
      </c>
      <c r="BL15" s="297">
        <f>-'D&amp;A'!BL37</f>
        <v>0</v>
      </c>
    </row>
    <row r="16" spans="2:64" s="294" customFormat="1" ht="19.95" customHeight="1">
      <c r="B16" s="293" t="s">
        <v>43</v>
      </c>
      <c r="C16" s="293"/>
      <c r="D16" s="473">
        <v>0</v>
      </c>
      <c r="E16" s="295">
        <v>0</v>
      </c>
      <c r="F16" s="296">
        <v>0</v>
      </c>
      <c r="G16" s="296">
        <v>0</v>
      </c>
      <c r="H16" s="296">
        <v>0</v>
      </c>
      <c r="I16" s="296">
        <v>0</v>
      </c>
      <c r="J16" s="296">
        <v>0</v>
      </c>
      <c r="K16" s="296">
        <v>0</v>
      </c>
      <c r="L16" s="296">
        <v>0</v>
      </c>
      <c r="M16" s="296">
        <v>0</v>
      </c>
      <c r="N16" s="296">
        <v>0</v>
      </c>
      <c r="O16" s="296">
        <v>0</v>
      </c>
      <c r="P16" s="297">
        <v>0</v>
      </c>
      <c r="Q16" s="295">
        <v>0</v>
      </c>
      <c r="R16" s="296">
        <v>0</v>
      </c>
      <c r="S16" s="296">
        <v>0</v>
      </c>
      <c r="T16" s="296">
        <v>0</v>
      </c>
      <c r="U16" s="296">
        <v>0</v>
      </c>
      <c r="V16" s="296">
        <v>0</v>
      </c>
      <c r="W16" s="296">
        <v>0</v>
      </c>
      <c r="X16" s="296">
        <v>0</v>
      </c>
      <c r="Y16" s="296">
        <v>0</v>
      </c>
      <c r="Z16" s="296">
        <v>0</v>
      </c>
      <c r="AA16" s="296">
        <v>0</v>
      </c>
      <c r="AB16" s="297">
        <v>0</v>
      </c>
      <c r="AC16" s="295">
        <v>0</v>
      </c>
      <c r="AD16" s="296">
        <v>0</v>
      </c>
      <c r="AE16" s="296">
        <v>0</v>
      </c>
      <c r="AF16" s="296">
        <v>0</v>
      </c>
      <c r="AG16" s="296">
        <v>0</v>
      </c>
      <c r="AH16" s="296">
        <v>0</v>
      </c>
      <c r="AI16" s="296">
        <v>0</v>
      </c>
      <c r="AJ16" s="296">
        <v>0</v>
      </c>
      <c r="AK16" s="296">
        <v>0</v>
      </c>
      <c r="AL16" s="296">
        <v>0</v>
      </c>
      <c r="AM16" s="296">
        <v>0</v>
      </c>
      <c r="AN16" s="297">
        <v>0</v>
      </c>
      <c r="AO16" s="295">
        <v>0</v>
      </c>
      <c r="AP16" s="296">
        <v>0</v>
      </c>
      <c r="AQ16" s="296">
        <v>0</v>
      </c>
      <c r="AR16" s="296">
        <v>0</v>
      </c>
      <c r="AS16" s="296">
        <v>0</v>
      </c>
      <c r="AT16" s="296">
        <v>0</v>
      </c>
      <c r="AU16" s="296">
        <v>0</v>
      </c>
      <c r="AV16" s="296">
        <v>0</v>
      </c>
      <c r="AW16" s="296">
        <v>0</v>
      </c>
      <c r="AX16" s="296">
        <v>0</v>
      </c>
      <c r="AY16" s="296">
        <v>0</v>
      </c>
      <c r="AZ16" s="297">
        <v>0</v>
      </c>
      <c r="BA16" s="295">
        <v>0</v>
      </c>
      <c r="BB16" s="296">
        <v>0</v>
      </c>
      <c r="BC16" s="296">
        <v>0</v>
      </c>
      <c r="BD16" s="296">
        <v>0</v>
      </c>
      <c r="BE16" s="296">
        <v>0</v>
      </c>
      <c r="BF16" s="296">
        <v>0</v>
      </c>
      <c r="BG16" s="296">
        <v>0</v>
      </c>
      <c r="BH16" s="296">
        <v>0</v>
      </c>
      <c r="BI16" s="296">
        <v>0</v>
      </c>
      <c r="BJ16" s="296">
        <v>0</v>
      </c>
      <c r="BK16" s="296">
        <v>0</v>
      </c>
      <c r="BL16" s="297">
        <v>0</v>
      </c>
    </row>
    <row r="17" spans="2:64" s="341" customFormat="1" ht="19.95" customHeight="1">
      <c r="B17" s="411" t="s">
        <v>172</v>
      </c>
      <c r="C17" s="411"/>
      <c r="D17" s="126">
        <f>+D5+D6+D7+D8+D9+D13</f>
        <v>-101204</v>
      </c>
      <c r="E17" s="124">
        <f aca="true" t="shared" si="22" ref="E17:S17">+SUM(E5:E9)+E13</f>
        <v>-6189.733728395066</v>
      </c>
      <c r="F17" s="125">
        <f t="shared" si="22"/>
        <v>-3588.9970617283984</v>
      </c>
      <c r="G17" s="125">
        <f>+SUM(G5:G9)+G13</f>
        <v>-3240.225266666667</v>
      </c>
      <c r="H17" s="125">
        <f t="shared" si="22"/>
        <v>-2999.7341666666666</v>
      </c>
      <c r="I17" s="125">
        <f t="shared" si="22"/>
        <v>-2276.957966666667</v>
      </c>
      <c r="J17" s="125">
        <f t="shared" si="22"/>
        <v>126.22243333333319</v>
      </c>
      <c r="K17" s="125">
        <f t="shared" si="22"/>
        <v>-1646.9353666666668</v>
      </c>
      <c r="L17" s="125">
        <f t="shared" si="22"/>
        <v>-1616.890166666667</v>
      </c>
      <c r="M17" s="125">
        <f t="shared" si="22"/>
        <v>-7387.847500000001</v>
      </c>
      <c r="N17" s="125">
        <f t="shared" si="22"/>
        <v>-26516.110216666664</v>
      </c>
      <c r="O17" s="125">
        <f t="shared" si="22"/>
        <v>-8835.266933333336</v>
      </c>
      <c r="P17" s="126">
        <f t="shared" si="22"/>
        <v>-11192.94313333333</v>
      </c>
      <c r="Q17" s="124">
        <f t="shared" si="22"/>
        <v>-42600.71673666667</v>
      </c>
      <c r="R17" s="125">
        <f t="shared" si="22"/>
        <v>-4643.600300000013</v>
      </c>
      <c r="S17" s="125">
        <f t="shared" si="22"/>
        <v>-8537.033500000005</v>
      </c>
      <c r="T17" s="125">
        <f aca="true" t="shared" si="23" ref="T17:AE17">+SUM(T5:T9)+T13</f>
        <v>-8111.1923000000015</v>
      </c>
      <c r="U17" s="125">
        <f t="shared" si="23"/>
        <v>-7443.232300000002</v>
      </c>
      <c r="V17" s="125">
        <f t="shared" si="23"/>
        <v>-6558.746699999997</v>
      </c>
      <c r="W17" s="125">
        <f t="shared" si="23"/>
        <v>-4689.604700000014</v>
      </c>
      <c r="X17" s="125">
        <f t="shared" si="23"/>
        <v>-4195.306154999998</v>
      </c>
      <c r="Y17" s="125">
        <f t="shared" si="23"/>
        <v>-2983.8708500000134</v>
      </c>
      <c r="Z17" s="125">
        <f t="shared" si="23"/>
        <v>-2162.9268500000103</v>
      </c>
      <c r="AA17" s="125">
        <f t="shared" si="23"/>
        <v>-1228.614850000005</v>
      </c>
      <c r="AB17" s="126">
        <f t="shared" si="23"/>
        <v>-14.424704999982623</v>
      </c>
      <c r="AC17" s="124">
        <f>+SUM(AC5:AC9)+AC13</f>
        <v>-49154.191068333304</v>
      </c>
      <c r="AD17" s="125">
        <f t="shared" si="23"/>
        <v>1590.0390166666803</v>
      </c>
      <c r="AE17" s="125">
        <f t="shared" si="23"/>
        <v>-4856.790438333334</v>
      </c>
      <c r="AF17" s="125">
        <f aca="true" t="shared" si="24" ref="AF17:AQ17">+SUM(AF5:AF9)+AF13</f>
        <v>-3894.5051333333363</v>
      </c>
      <c r="AG17" s="125">
        <f t="shared" si="24"/>
        <v>-2401.831133333301</v>
      </c>
      <c r="AH17" s="125">
        <f t="shared" si="24"/>
        <v>-1126.222988333317</v>
      </c>
      <c r="AI17" s="125">
        <f t="shared" si="24"/>
        <v>375.536316666683</v>
      </c>
      <c r="AJ17" s="125">
        <f t="shared" si="24"/>
        <v>1840.7563166666623</v>
      </c>
      <c r="AK17" s="125">
        <f t="shared" si="24"/>
        <v>3655.8384616666917</v>
      </c>
      <c r="AL17" s="125">
        <f t="shared" si="24"/>
        <v>5130.143766666686</v>
      </c>
      <c r="AM17" s="125">
        <f t="shared" si="24"/>
        <v>7230.217366666668</v>
      </c>
      <c r="AN17" s="126">
        <f t="shared" si="24"/>
        <v>8782.250966666692</v>
      </c>
      <c r="AO17" s="124">
        <f t="shared" si="24"/>
        <v>-42092.62225166666</v>
      </c>
      <c r="AP17" s="125">
        <f t="shared" si="24"/>
        <v>25577.97112833334</v>
      </c>
      <c r="AQ17" s="125">
        <f t="shared" si="24"/>
        <v>17576.552433333356</v>
      </c>
      <c r="AR17" s="125">
        <f aca="true" t="shared" si="25" ref="AR17:BC17">+SUM(AR5:AR9)+AR13</f>
        <v>20207.53403333332</v>
      </c>
      <c r="AS17" s="125">
        <f t="shared" si="25"/>
        <v>22435.69032333334</v>
      </c>
      <c r="AT17" s="125">
        <f t="shared" si="25"/>
        <v>25149.007333333346</v>
      </c>
      <c r="AU17" s="125">
        <f t="shared" si="25"/>
        <v>33868.64961333336</v>
      </c>
      <c r="AV17" s="125">
        <f t="shared" si="25"/>
        <v>35648.22667833333</v>
      </c>
      <c r="AW17" s="125">
        <f t="shared" si="25"/>
        <v>38974.656128333314</v>
      </c>
      <c r="AX17" s="125">
        <f t="shared" si="25"/>
        <v>42174.19143333334</v>
      </c>
      <c r="AY17" s="125">
        <f t="shared" si="25"/>
        <v>45586.08317833334</v>
      </c>
      <c r="AZ17" s="126">
        <f t="shared" si="25"/>
        <v>49199.63008333334</v>
      </c>
      <c r="BA17" s="124">
        <f t="shared" si="25"/>
        <v>-5060.910309666608</v>
      </c>
      <c r="BB17" s="125">
        <f t="shared" si="25"/>
        <v>65775.45625666664</v>
      </c>
      <c r="BC17" s="125">
        <f t="shared" si="25"/>
        <v>59916.69886666672</v>
      </c>
      <c r="BD17" s="125">
        <f aca="true" t="shared" si="26" ref="BD17:BL17">+SUM(BD5:BD9)+BD13</f>
        <v>64149.82261166665</v>
      </c>
      <c r="BE17" s="125">
        <f t="shared" si="26"/>
        <v>69600.16980666669</v>
      </c>
      <c r="BF17" s="125">
        <f t="shared" si="26"/>
        <v>74400.0784166667</v>
      </c>
      <c r="BG17" s="125">
        <f t="shared" si="26"/>
        <v>-11304.783895032135</v>
      </c>
      <c r="BH17" s="125">
        <f t="shared" si="26"/>
        <v>90640.89706166663</v>
      </c>
      <c r="BI17" s="125">
        <f t="shared" si="26"/>
        <v>96752.02156666672</v>
      </c>
      <c r="BJ17" s="125">
        <f t="shared" si="26"/>
        <v>103278.29745666667</v>
      </c>
      <c r="BK17" s="125">
        <f t="shared" si="26"/>
        <v>109688.18021166668</v>
      </c>
      <c r="BL17" s="126">
        <f t="shared" si="26"/>
        <v>117193.97231666667</v>
      </c>
    </row>
    <row r="18" spans="2:64" ht="19.95" customHeight="1">
      <c r="B18" s="291" t="s">
        <v>44</v>
      </c>
      <c r="C18" s="291"/>
      <c r="D18" s="123">
        <f>+SUM(D19:D22)</f>
        <v>0</v>
      </c>
      <c r="E18" s="121">
        <f>+SUM(E19:E22)</f>
        <v>0</v>
      </c>
      <c r="F18" s="122">
        <f>+SUM(F19:F22)</f>
        <v>0</v>
      </c>
      <c r="G18" s="122">
        <f aca="true" t="shared" si="27" ref="G18:S18">+SUM(G19:G22)</f>
        <v>0</v>
      </c>
      <c r="H18" s="122">
        <f t="shared" si="27"/>
        <v>0</v>
      </c>
      <c r="I18" s="122">
        <f t="shared" si="27"/>
        <v>0</v>
      </c>
      <c r="J18" s="122">
        <f t="shared" si="27"/>
        <v>6194.833333333333</v>
      </c>
      <c r="K18" s="122">
        <f>+SUM(K19:K22)</f>
        <v>-5.166666666666667</v>
      </c>
      <c r="L18" s="122">
        <f t="shared" si="27"/>
        <v>-5.166666666666667</v>
      </c>
      <c r="M18" s="122">
        <f t="shared" si="27"/>
        <v>-5.166666666666667</v>
      </c>
      <c r="N18" s="122">
        <f t="shared" si="27"/>
        <v>-5.166666666666667</v>
      </c>
      <c r="O18" s="122">
        <f t="shared" si="27"/>
        <v>-5.166666666666667</v>
      </c>
      <c r="P18" s="123">
        <f t="shared" si="27"/>
        <v>-5.166666666666667</v>
      </c>
      <c r="Q18" s="121">
        <f t="shared" si="27"/>
        <v>-5.166666666666667</v>
      </c>
      <c r="R18" s="122">
        <f t="shared" si="27"/>
        <v>-5.166666666666667</v>
      </c>
      <c r="S18" s="122">
        <f t="shared" si="27"/>
        <v>-5.166666666666667</v>
      </c>
      <c r="T18" s="122">
        <f aca="true" t="shared" si="28" ref="T18:AE18">+SUM(T19:T22)</f>
        <v>-5.166666666666667</v>
      </c>
      <c r="U18" s="122">
        <f t="shared" si="28"/>
        <v>-5.166666666666667</v>
      </c>
      <c r="V18" s="122">
        <f t="shared" si="28"/>
        <v>-5.166666666666667</v>
      </c>
      <c r="W18" s="122">
        <f t="shared" si="28"/>
        <v>-5.166666666666667</v>
      </c>
      <c r="X18" s="122">
        <f t="shared" si="28"/>
        <v>-5.166666666666667</v>
      </c>
      <c r="Y18" s="122">
        <f t="shared" si="28"/>
        <v>-5.166666666666667</v>
      </c>
      <c r="Z18" s="122">
        <f t="shared" si="28"/>
        <v>-5.166666666666667</v>
      </c>
      <c r="AA18" s="122">
        <f t="shared" si="28"/>
        <v>-5.166666666666667</v>
      </c>
      <c r="AB18" s="123">
        <f t="shared" si="28"/>
        <v>-5.166666666666667</v>
      </c>
      <c r="AC18" s="121">
        <f t="shared" si="28"/>
        <v>-5.166666666666667</v>
      </c>
      <c r="AD18" s="122">
        <f t="shared" si="28"/>
        <v>-5.166666666666667</v>
      </c>
      <c r="AE18" s="122">
        <f t="shared" si="28"/>
        <v>-5.166666666666667</v>
      </c>
      <c r="AF18" s="122">
        <f aca="true" t="shared" si="29" ref="AF18:AQ18">+SUM(AF19:AF22)</f>
        <v>-5.166666666666667</v>
      </c>
      <c r="AG18" s="122">
        <f t="shared" si="29"/>
        <v>-5.166666666666667</v>
      </c>
      <c r="AH18" s="122">
        <f t="shared" si="29"/>
        <v>-131.82102656424667</v>
      </c>
      <c r="AI18" s="122">
        <f t="shared" si="29"/>
        <v>-131.82102656424667</v>
      </c>
      <c r="AJ18" s="122">
        <f t="shared" si="29"/>
        <v>-131.8210265642467</v>
      </c>
      <c r="AK18" s="122">
        <f t="shared" si="29"/>
        <v>-131.82102656424667</v>
      </c>
      <c r="AL18" s="122">
        <f t="shared" si="29"/>
        <v>-131.82102656424667</v>
      </c>
      <c r="AM18" s="122">
        <f t="shared" si="29"/>
        <v>-131.8210265642467</v>
      </c>
      <c r="AN18" s="123">
        <f t="shared" si="29"/>
        <v>-131.8210265642467</v>
      </c>
      <c r="AO18" s="121">
        <f t="shared" si="29"/>
        <v>-131.8210265642467</v>
      </c>
      <c r="AP18" s="122">
        <f t="shared" si="29"/>
        <v>-131.82102656424667</v>
      </c>
      <c r="AQ18" s="122">
        <f t="shared" si="29"/>
        <v>-131.82102656424667</v>
      </c>
      <c r="AR18" s="122">
        <f aca="true" t="shared" si="30" ref="AR18:BC18">+SUM(AR19:AR22)</f>
        <v>-131.82102656424667</v>
      </c>
      <c r="AS18" s="122">
        <f t="shared" si="30"/>
        <v>-131.82102656424667</v>
      </c>
      <c r="AT18" s="122">
        <f t="shared" si="30"/>
        <v>-131.82102656424667</v>
      </c>
      <c r="AU18" s="122">
        <f t="shared" si="30"/>
        <v>-131.82102656424667</v>
      </c>
      <c r="AV18" s="122">
        <f t="shared" si="30"/>
        <v>-131.82102656424667</v>
      </c>
      <c r="AW18" s="122">
        <f t="shared" si="30"/>
        <v>-131.82102656424667</v>
      </c>
      <c r="AX18" s="122">
        <f t="shared" si="30"/>
        <v>-131.82102656424667</v>
      </c>
      <c r="AY18" s="122">
        <f t="shared" si="30"/>
        <v>-131.8210265642467</v>
      </c>
      <c r="AZ18" s="123">
        <f t="shared" si="30"/>
        <v>-131.8210265642467</v>
      </c>
      <c r="BA18" s="121">
        <f t="shared" si="30"/>
        <v>-131.82102656424667</v>
      </c>
      <c r="BB18" s="122">
        <f t="shared" si="30"/>
        <v>-131.82102656424667</v>
      </c>
      <c r="BC18" s="122">
        <f t="shared" si="30"/>
        <v>-131.8210265642467</v>
      </c>
      <c r="BD18" s="122">
        <f aca="true" t="shared" si="31" ref="BD18:BL18">+SUM(BD19:BD22)</f>
        <v>-131.82102656424667</v>
      </c>
      <c r="BE18" s="122">
        <f t="shared" si="31"/>
        <v>-131.8210265642467</v>
      </c>
      <c r="BF18" s="122">
        <f t="shared" si="31"/>
        <v>-131.8210265642467</v>
      </c>
      <c r="BG18" s="122">
        <f t="shared" si="31"/>
        <v>-131.82102656424667</v>
      </c>
      <c r="BH18" s="122">
        <f t="shared" si="31"/>
        <v>-131.82102656424667</v>
      </c>
      <c r="BI18" s="122">
        <f t="shared" si="31"/>
        <v>-131.8210265642467</v>
      </c>
      <c r="BJ18" s="122">
        <f t="shared" si="31"/>
        <v>-131.82102656424667</v>
      </c>
      <c r="BK18" s="122">
        <f t="shared" si="31"/>
        <v>-131.82102656424667</v>
      </c>
      <c r="BL18" s="123">
        <f t="shared" si="31"/>
        <v>-131.8210265642467</v>
      </c>
    </row>
    <row r="19" spans="2:64" s="294" customFormat="1" ht="19.95" customHeight="1">
      <c r="B19" s="293" t="s">
        <v>176</v>
      </c>
      <c r="C19" s="293"/>
      <c r="D19" s="473">
        <v>0</v>
      </c>
      <c r="E19" s="489">
        <v>0</v>
      </c>
      <c r="F19" s="296">
        <v>0</v>
      </c>
      <c r="G19" s="296">
        <v>0</v>
      </c>
      <c r="H19" s="296">
        <v>0</v>
      </c>
      <c r="I19" s="296">
        <v>0</v>
      </c>
      <c r="J19" s="296">
        <v>6200</v>
      </c>
      <c r="K19" s="296">
        <v>0</v>
      </c>
      <c r="L19" s="296">
        <v>0</v>
      </c>
      <c r="M19" s="296">
        <v>0</v>
      </c>
      <c r="N19" s="296">
        <v>0</v>
      </c>
      <c r="O19" s="296">
        <v>0</v>
      </c>
      <c r="P19" s="473">
        <v>0</v>
      </c>
      <c r="Q19" s="489">
        <v>0</v>
      </c>
      <c r="R19" s="296">
        <v>0</v>
      </c>
      <c r="S19" s="296">
        <v>0</v>
      </c>
      <c r="T19" s="296">
        <v>0</v>
      </c>
      <c r="U19" s="296">
        <v>0</v>
      </c>
      <c r="V19" s="296">
        <v>0</v>
      </c>
      <c r="W19" s="296">
        <v>0</v>
      </c>
      <c r="X19" s="296">
        <v>0</v>
      </c>
      <c r="Y19" s="296">
        <v>0</v>
      </c>
      <c r="Z19" s="296">
        <v>0</v>
      </c>
      <c r="AA19" s="296">
        <v>0</v>
      </c>
      <c r="AB19" s="297">
        <v>0</v>
      </c>
      <c r="AC19" s="489">
        <v>0</v>
      </c>
      <c r="AD19" s="296">
        <v>0</v>
      </c>
      <c r="AE19" s="296">
        <v>0</v>
      </c>
      <c r="AF19" s="296">
        <v>0</v>
      </c>
      <c r="AG19" s="296">
        <v>0</v>
      </c>
      <c r="AH19" s="296">
        <v>0</v>
      </c>
      <c r="AI19" s="296">
        <v>0</v>
      </c>
      <c r="AJ19" s="296">
        <v>0</v>
      </c>
      <c r="AK19" s="296">
        <v>0</v>
      </c>
      <c r="AL19" s="296">
        <v>0</v>
      </c>
      <c r="AM19" s="296">
        <v>0</v>
      </c>
      <c r="AN19" s="297">
        <v>0</v>
      </c>
      <c r="AO19" s="295">
        <v>0</v>
      </c>
      <c r="AP19" s="296">
        <v>0</v>
      </c>
      <c r="AQ19" s="296">
        <v>0</v>
      </c>
      <c r="AR19" s="296">
        <v>0</v>
      </c>
      <c r="AS19" s="296">
        <v>0</v>
      </c>
      <c r="AT19" s="296">
        <v>0</v>
      </c>
      <c r="AU19" s="296">
        <v>0</v>
      </c>
      <c r="AV19" s="296">
        <v>0</v>
      </c>
      <c r="AW19" s="296">
        <v>0</v>
      </c>
      <c r="AX19" s="296">
        <v>0</v>
      </c>
      <c r="AY19" s="296">
        <v>0</v>
      </c>
      <c r="AZ19" s="297">
        <v>0</v>
      </c>
      <c r="BA19" s="295">
        <v>0</v>
      </c>
      <c r="BB19" s="296">
        <v>0</v>
      </c>
      <c r="BC19" s="296">
        <v>0</v>
      </c>
      <c r="BD19" s="296">
        <v>0</v>
      </c>
      <c r="BE19" s="296">
        <v>0</v>
      </c>
      <c r="BF19" s="296">
        <v>0</v>
      </c>
      <c r="BG19" s="296">
        <v>0</v>
      </c>
      <c r="BH19" s="296">
        <v>0</v>
      </c>
      <c r="BI19" s="296">
        <v>0</v>
      </c>
      <c r="BJ19" s="296">
        <v>0</v>
      </c>
      <c r="BK19" s="296">
        <v>0</v>
      </c>
      <c r="BL19" s="297">
        <v>0</v>
      </c>
    </row>
    <row r="20" spans="2:64" s="294" customFormat="1" ht="19.95" customHeight="1">
      <c r="B20" s="293" t="s">
        <v>177</v>
      </c>
      <c r="C20" s="293"/>
      <c r="D20" s="473">
        <v>0</v>
      </c>
      <c r="E20" s="295">
        <f>-'Debt amortization'!O147</f>
        <v>0</v>
      </c>
      <c r="F20" s="296">
        <f>-'Debt amortization'!P147</f>
        <v>0</v>
      </c>
      <c r="G20" s="296">
        <f>-'Debt amortization'!Q147</f>
        <v>0</v>
      </c>
      <c r="H20" s="296">
        <f>-'Debt amortization'!R147</f>
        <v>0</v>
      </c>
      <c r="I20" s="296">
        <f>-'Debt amortization'!S147</f>
        <v>0</v>
      </c>
      <c r="J20" s="296">
        <f>-'Debt amortization'!T147</f>
        <v>-5.166666666666667</v>
      </c>
      <c r="K20" s="296">
        <f>-'Debt amortization'!U147</f>
        <v>-5.166666666666667</v>
      </c>
      <c r="L20" s="296">
        <f>-'Debt amortization'!V147</f>
        <v>-5.166666666666667</v>
      </c>
      <c r="M20" s="296">
        <f>-'Debt amortization'!W147</f>
        <v>-5.166666666666667</v>
      </c>
      <c r="N20" s="296">
        <f>-'Debt amortization'!X147</f>
        <v>-5.166666666666667</v>
      </c>
      <c r="O20" s="296">
        <f>-'Debt amortization'!Y147</f>
        <v>-5.166666666666667</v>
      </c>
      <c r="P20" s="297">
        <f>-'Debt amortization'!Z147</f>
        <v>-5.166666666666667</v>
      </c>
      <c r="Q20" s="295">
        <f>-'Debt amortization'!AA147</f>
        <v>-5.166666666666667</v>
      </c>
      <c r="R20" s="296">
        <f>-'Debt amortization'!AB147</f>
        <v>-5.166666666666667</v>
      </c>
      <c r="S20" s="296">
        <f>-'Debt amortization'!AC147</f>
        <v>-5.166666666666667</v>
      </c>
      <c r="T20" s="296">
        <f>-'Debt amortization'!AD147</f>
        <v>-5.166666666666667</v>
      </c>
      <c r="U20" s="296">
        <f>-'Debt amortization'!AE147</f>
        <v>-5.166666666666667</v>
      </c>
      <c r="V20" s="296">
        <f>-'Debt amortization'!AF147</f>
        <v>-5.166666666666667</v>
      </c>
      <c r="W20" s="296">
        <f>-'Debt amortization'!AG147</f>
        <v>-5.166666666666667</v>
      </c>
      <c r="X20" s="296">
        <f>-'Debt amortization'!AH147</f>
        <v>-5.166666666666667</v>
      </c>
      <c r="Y20" s="296">
        <f>-'Debt amortization'!AI147</f>
        <v>-5.166666666666667</v>
      </c>
      <c r="Z20" s="296">
        <f>-'Debt amortization'!AJ147</f>
        <v>-5.166666666666667</v>
      </c>
      <c r="AA20" s="296">
        <f>-'Debt amortization'!AK147</f>
        <v>-5.166666666666667</v>
      </c>
      <c r="AB20" s="297">
        <f>-'Debt amortization'!AL147</f>
        <v>-5.166666666666667</v>
      </c>
      <c r="AC20" s="295">
        <f>-'Debt amortization'!AM147</f>
        <v>-5.166666666666667</v>
      </c>
      <c r="AD20" s="296">
        <f>-'Debt amortization'!AN147</f>
        <v>-5.166666666666667</v>
      </c>
      <c r="AE20" s="296">
        <f>-'Debt amortization'!AO147</f>
        <v>-5.166666666666667</v>
      </c>
      <c r="AF20" s="296">
        <f>-'Debt amortization'!AP147</f>
        <v>-5.166666666666667</v>
      </c>
      <c r="AG20" s="296">
        <f>-'Debt amortization'!AQ147</f>
        <v>-5.166666666666667</v>
      </c>
      <c r="AH20" s="296">
        <f>-'Debt amortization'!AR147</f>
        <v>-131.82102656424667</v>
      </c>
      <c r="AI20" s="296">
        <f>-'Debt amortization'!AS147</f>
        <v>-131.82102656424667</v>
      </c>
      <c r="AJ20" s="296">
        <f>-'Debt amortization'!AT147</f>
        <v>-131.8210265642467</v>
      </c>
      <c r="AK20" s="296">
        <f>-'Debt amortization'!AU147</f>
        <v>-131.82102656424667</v>
      </c>
      <c r="AL20" s="296">
        <f>-'Debt amortization'!AV147</f>
        <v>-131.82102656424667</v>
      </c>
      <c r="AM20" s="296">
        <f>-'Debt amortization'!AW147</f>
        <v>-131.8210265642467</v>
      </c>
      <c r="AN20" s="297">
        <f>-'Debt amortization'!AX147</f>
        <v>-131.8210265642467</v>
      </c>
      <c r="AO20" s="295">
        <f>-'Debt amortization'!AY147</f>
        <v>-131.8210265642467</v>
      </c>
      <c r="AP20" s="296">
        <f>-'Debt amortization'!AZ147</f>
        <v>-131.82102656424667</v>
      </c>
      <c r="AQ20" s="296">
        <f>-'Debt amortization'!BA147</f>
        <v>-131.82102656424667</v>
      </c>
      <c r="AR20" s="296">
        <f>-'Debt amortization'!BB147</f>
        <v>-131.82102656424667</v>
      </c>
      <c r="AS20" s="296">
        <f>-'Debt amortization'!BC147</f>
        <v>-131.82102656424667</v>
      </c>
      <c r="AT20" s="296">
        <f>-'Debt amortization'!BD147</f>
        <v>-131.82102656424667</v>
      </c>
      <c r="AU20" s="296">
        <f>-'Debt amortization'!BE147</f>
        <v>-131.82102656424667</v>
      </c>
      <c r="AV20" s="296">
        <f>-'Debt amortization'!BF147</f>
        <v>-131.82102656424667</v>
      </c>
      <c r="AW20" s="296">
        <f>-'Debt amortization'!BG147</f>
        <v>-131.82102656424667</v>
      </c>
      <c r="AX20" s="296">
        <f>-'Debt amortization'!BH147</f>
        <v>-131.82102656424667</v>
      </c>
      <c r="AY20" s="296">
        <f>-'Debt amortization'!BI147</f>
        <v>-131.8210265642467</v>
      </c>
      <c r="AZ20" s="297">
        <f>-'Debt amortization'!BJ147</f>
        <v>-131.8210265642467</v>
      </c>
      <c r="BA20" s="295">
        <f>-'Debt amortization'!BK147</f>
        <v>-131.82102656424667</v>
      </c>
      <c r="BB20" s="296">
        <f>-'Debt amortization'!BL147</f>
        <v>-131.82102656424667</v>
      </c>
      <c r="BC20" s="296">
        <f>-'Debt amortization'!BM147</f>
        <v>-131.8210265642467</v>
      </c>
      <c r="BD20" s="296">
        <f>-'Debt amortization'!BN147</f>
        <v>-131.82102656424667</v>
      </c>
      <c r="BE20" s="296">
        <f>-'Debt amortization'!BO147</f>
        <v>-131.8210265642467</v>
      </c>
      <c r="BF20" s="296">
        <f>-'Debt amortization'!BP147</f>
        <v>-131.8210265642467</v>
      </c>
      <c r="BG20" s="296">
        <f>-'Debt amortization'!BQ147</f>
        <v>-131.82102656424667</v>
      </c>
      <c r="BH20" s="296">
        <f>-'Debt amortization'!BR147</f>
        <v>-131.82102656424667</v>
      </c>
      <c r="BI20" s="296">
        <f>-'Debt amortization'!BS147</f>
        <v>-131.8210265642467</v>
      </c>
      <c r="BJ20" s="296">
        <f>-'Debt amortization'!BT147</f>
        <v>-131.82102656424667</v>
      </c>
      <c r="BK20" s="296">
        <f>-'Debt amortization'!BU147</f>
        <v>-131.82102656424667</v>
      </c>
      <c r="BL20" s="297">
        <f>-'Debt amortization'!BV147</f>
        <v>-131.8210265642467</v>
      </c>
    </row>
    <row r="21" spans="2:64" s="294" customFormat="1" ht="19.95" customHeight="1">
      <c r="B21" s="293" t="s">
        <v>249</v>
      </c>
      <c r="C21" s="293"/>
      <c r="D21" s="654">
        <f>+'Balance Sheet'!S44+'Balance Sheet'!S46</f>
        <v>0</v>
      </c>
      <c r="E21" s="489">
        <v>0</v>
      </c>
      <c r="F21" s="444">
        <v>0</v>
      </c>
      <c r="G21" s="444">
        <v>0</v>
      </c>
      <c r="H21" s="444">
        <v>0</v>
      </c>
      <c r="I21" s="444">
        <v>0</v>
      </c>
      <c r="J21" s="444">
        <v>0</v>
      </c>
      <c r="K21" s="444">
        <v>0</v>
      </c>
      <c r="L21" s="444">
        <v>0</v>
      </c>
      <c r="M21" s="444">
        <v>0</v>
      </c>
      <c r="N21" s="444">
        <v>0</v>
      </c>
      <c r="O21" s="444">
        <v>0</v>
      </c>
      <c r="P21" s="473">
        <v>0</v>
      </c>
      <c r="Q21" s="489">
        <v>0</v>
      </c>
      <c r="R21" s="444">
        <v>0</v>
      </c>
      <c r="S21" s="444">
        <v>0</v>
      </c>
      <c r="T21" s="444">
        <v>0</v>
      </c>
      <c r="U21" s="444">
        <v>0</v>
      </c>
      <c r="V21" s="444">
        <v>0</v>
      </c>
      <c r="W21" s="444">
        <v>0</v>
      </c>
      <c r="X21" s="444">
        <v>0</v>
      </c>
      <c r="Y21" s="444">
        <v>0</v>
      </c>
      <c r="Z21" s="444">
        <v>0</v>
      </c>
      <c r="AA21" s="444">
        <v>0</v>
      </c>
      <c r="AB21" s="473">
        <v>0</v>
      </c>
      <c r="AC21" s="489">
        <v>0</v>
      </c>
      <c r="AD21" s="444">
        <v>0</v>
      </c>
      <c r="AE21" s="444">
        <v>0</v>
      </c>
      <c r="AF21" s="444">
        <v>0</v>
      </c>
      <c r="AG21" s="444">
        <v>0</v>
      </c>
      <c r="AH21" s="444">
        <v>0</v>
      </c>
      <c r="AI21" s="444">
        <v>0</v>
      </c>
      <c r="AJ21" s="444">
        <v>0</v>
      </c>
      <c r="AK21" s="444">
        <v>0</v>
      </c>
      <c r="AL21" s="444">
        <v>0</v>
      </c>
      <c r="AM21" s="444">
        <v>0</v>
      </c>
      <c r="AN21" s="473">
        <v>0</v>
      </c>
      <c r="AO21" s="489">
        <v>0</v>
      </c>
      <c r="AP21" s="444">
        <v>0</v>
      </c>
      <c r="AQ21" s="444">
        <v>0</v>
      </c>
      <c r="AR21" s="444">
        <v>0</v>
      </c>
      <c r="AS21" s="444">
        <v>0</v>
      </c>
      <c r="AT21" s="444">
        <v>0</v>
      </c>
      <c r="AU21" s="444">
        <v>0</v>
      </c>
      <c r="AV21" s="444">
        <v>0</v>
      </c>
      <c r="AW21" s="444">
        <v>0</v>
      </c>
      <c r="AX21" s="444">
        <v>0</v>
      </c>
      <c r="AY21" s="444">
        <v>0</v>
      </c>
      <c r="AZ21" s="473">
        <v>0</v>
      </c>
      <c r="BA21" s="489">
        <v>0</v>
      </c>
      <c r="BB21" s="444">
        <v>0</v>
      </c>
      <c r="BC21" s="444">
        <v>0</v>
      </c>
      <c r="BD21" s="444">
        <v>0</v>
      </c>
      <c r="BE21" s="444">
        <v>0</v>
      </c>
      <c r="BF21" s="444">
        <v>0</v>
      </c>
      <c r="BG21" s="444">
        <v>0</v>
      </c>
      <c r="BH21" s="444">
        <v>0</v>
      </c>
      <c r="BI21" s="444">
        <v>0</v>
      </c>
      <c r="BJ21" s="444">
        <v>0</v>
      </c>
      <c r="BK21" s="444">
        <v>0</v>
      </c>
      <c r="BL21" s="473">
        <v>0</v>
      </c>
    </row>
    <row r="22" spans="2:64" s="294" customFormat="1" ht="19.95" customHeight="1">
      <c r="B22" s="293" t="s">
        <v>45</v>
      </c>
      <c r="C22" s="293"/>
      <c r="D22" s="473">
        <v>0</v>
      </c>
      <c r="E22" s="295">
        <v>0</v>
      </c>
      <c r="F22" s="296">
        <v>0</v>
      </c>
      <c r="G22" s="296">
        <v>0</v>
      </c>
      <c r="H22" s="296">
        <v>0</v>
      </c>
      <c r="I22" s="296">
        <v>0</v>
      </c>
      <c r="J22" s="296">
        <v>0</v>
      </c>
      <c r="K22" s="296">
        <v>0</v>
      </c>
      <c r="L22" s="296">
        <v>0</v>
      </c>
      <c r="M22" s="296">
        <v>0</v>
      </c>
      <c r="N22" s="296">
        <v>0</v>
      </c>
      <c r="O22" s="296">
        <v>0</v>
      </c>
      <c r="P22" s="297">
        <v>0</v>
      </c>
      <c r="Q22" s="295">
        <v>0</v>
      </c>
      <c r="R22" s="296">
        <v>0</v>
      </c>
      <c r="S22" s="296">
        <v>0</v>
      </c>
      <c r="T22" s="296">
        <v>0</v>
      </c>
      <c r="U22" s="296">
        <v>0</v>
      </c>
      <c r="V22" s="296">
        <v>0</v>
      </c>
      <c r="W22" s="296">
        <v>0</v>
      </c>
      <c r="X22" s="296">
        <v>0</v>
      </c>
      <c r="Y22" s="296">
        <v>0</v>
      </c>
      <c r="Z22" s="296">
        <v>0</v>
      </c>
      <c r="AA22" s="296">
        <v>0</v>
      </c>
      <c r="AB22" s="297">
        <v>0</v>
      </c>
      <c r="AC22" s="295">
        <v>0</v>
      </c>
      <c r="AD22" s="296">
        <v>0</v>
      </c>
      <c r="AE22" s="296">
        <v>0</v>
      </c>
      <c r="AF22" s="296">
        <v>0</v>
      </c>
      <c r="AG22" s="296">
        <v>0</v>
      </c>
      <c r="AH22" s="296">
        <v>0</v>
      </c>
      <c r="AI22" s="296">
        <v>0</v>
      </c>
      <c r="AJ22" s="296">
        <v>0</v>
      </c>
      <c r="AK22" s="296">
        <v>0</v>
      </c>
      <c r="AL22" s="296">
        <v>0</v>
      </c>
      <c r="AM22" s="296">
        <v>0</v>
      </c>
      <c r="AN22" s="297">
        <v>0</v>
      </c>
      <c r="AO22" s="295">
        <v>0</v>
      </c>
      <c r="AP22" s="296">
        <v>0</v>
      </c>
      <c r="AQ22" s="296">
        <v>0</v>
      </c>
      <c r="AR22" s="296">
        <v>0</v>
      </c>
      <c r="AS22" s="296">
        <v>0</v>
      </c>
      <c r="AT22" s="296">
        <v>0</v>
      </c>
      <c r="AU22" s="296">
        <v>0</v>
      </c>
      <c r="AV22" s="296">
        <v>0</v>
      </c>
      <c r="AW22" s="296">
        <v>0</v>
      </c>
      <c r="AX22" s="296">
        <v>0</v>
      </c>
      <c r="AY22" s="296">
        <v>0</v>
      </c>
      <c r="AZ22" s="297">
        <v>0</v>
      </c>
      <c r="BA22" s="295">
        <v>0</v>
      </c>
      <c r="BB22" s="296">
        <v>0</v>
      </c>
      <c r="BC22" s="296">
        <v>0</v>
      </c>
      <c r="BD22" s="296">
        <v>0</v>
      </c>
      <c r="BE22" s="296">
        <v>0</v>
      </c>
      <c r="BF22" s="296">
        <v>0</v>
      </c>
      <c r="BG22" s="296">
        <v>0</v>
      </c>
      <c r="BH22" s="296">
        <v>0</v>
      </c>
      <c r="BI22" s="296">
        <v>0</v>
      </c>
      <c r="BJ22" s="296">
        <v>0</v>
      </c>
      <c r="BK22" s="296">
        <v>0</v>
      </c>
      <c r="BL22" s="297">
        <v>0</v>
      </c>
    </row>
    <row r="23" spans="2:64" s="341" customFormat="1" ht="19.95" customHeight="1">
      <c r="B23" s="411" t="s">
        <v>168</v>
      </c>
      <c r="C23" s="411"/>
      <c r="D23" s="126">
        <f aca="true" t="shared" si="32" ref="D23">+D17+D18</f>
        <v>-101204</v>
      </c>
      <c r="E23" s="124">
        <f>+E17+E18</f>
        <v>-6189.733728395066</v>
      </c>
      <c r="F23" s="125">
        <f aca="true" t="shared" si="33" ref="F23:BL23">+F17+F18</f>
        <v>-3588.9970617283984</v>
      </c>
      <c r="G23" s="125">
        <f t="shared" si="33"/>
        <v>-3240.225266666667</v>
      </c>
      <c r="H23" s="125">
        <f t="shared" si="33"/>
        <v>-2999.7341666666666</v>
      </c>
      <c r="I23" s="125">
        <f t="shared" si="33"/>
        <v>-2276.957966666667</v>
      </c>
      <c r="J23" s="125">
        <f t="shared" si="33"/>
        <v>6321.055766666666</v>
      </c>
      <c r="K23" s="125">
        <f t="shared" si="33"/>
        <v>-1652.1020333333336</v>
      </c>
      <c r="L23" s="125">
        <f t="shared" si="33"/>
        <v>-1622.0568333333338</v>
      </c>
      <c r="M23" s="125">
        <f t="shared" si="33"/>
        <v>-7393.014166666668</v>
      </c>
      <c r="N23" s="125">
        <f t="shared" si="33"/>
        <v>-26521.276883333332</v>
      </c>
      <c r="O23" s="125">
        <f t="shared" si="33"/>
        <v>-8840.433600000002</v>
      </c>
      <c r="P23" s="126">
        <f t="shared" si="33"/>
        <v>-11198.109799999997</v>
      </c>
      <c r="Q23" s="124">
        <f t="shared" si="33"/>
        <v>-42605.88340333333</v>
      </c>
      <c r="R23" s="125">
        <f t="shared" si="33"/>
        <v>-4648.76696666668</v>
      </c>
      <c r="S23" s="125">
        <f t="shared" si="33"/>
        <v>-8542.200166666671</v>
      </c>
      <c r="T23" s="125">
        <f t="shared" si="33"/>
        <v>-8116.3589666666685</v>
      </c>
      <c r="U23" s="125">
        <f t="shared" si="33"/>
        <v>-7448.398966666669</v>
      </c>
      <c r="V23" s="125">
        <f t="shared" si="33"/>
        <v>-6563.913366666664</v>
      </c>
      <c r="W23" s="125">
        <f t="shared" si="33"/>
        <v>-4694.771366666681</v>
      </c>
      <c r="X23" s="125">
        <f t="shared" si="33"/>
        <v>-4200.472821666665</v>
      </c>
      <c r="Y23" s="125">
        <f t="shared" si="33"/>
        <v>-2989.03751666668</v>
      </c>
      <c r="Z23" s="125">
        <f t="shared" si="33"/>
        <v>-2168.093516666677</v>
      </c>
      <c r="AA23" s="125">
        <f t="shared" si="33"/>
        <v>-1233.7815166666717</v>
      </c>
      <c r="AB23" s="126">
        <f t="shared" si="33"/>
        <v>-19.59137166664929</v>
      </c>
      <c r="AC23" s="124">
        <f t="shared" si="33"/>
        <v>-49159.35773499997</v>
      </c>
      <c r="AD23" s="125">
        <f t="shared" si="33"/>
        <v>1584.8723500000135</v>
      </c>
      <c r="AE23" s="125">
        <f t="shared" si="33"/>
        <v>-4861.957105000001</v>
      </c>
      <c r="AF23" s="125">
        <f t="shared" si="33"/>
        <v>-3899.671800000003</v>
      </c>
      <c r="AG23" s="125">
        <f t="shared" si="33"/>
        <v>-2406.9977999999674</v>
      </c>
      <c r="AH23" s="125">
        <f t="shared" si="33"/>
        <v>-1258.0440148975638</v>
      </c>
      <c r="AI23" s="125">
        <f t="shared" si="33"/>
        <v>243.7152901024363</v>
      </c>
      <c r="AJ23" s="125">
        <f t="shared" si="33"/>
        <v>1708.9352901024156</v>
      </c>
      <c r="AK23" s="125">
        <f t="shared" si="33"/>
        <v>3524.0174351024452</v>
      </c>
      <c r="AL23" s="125">
        <f t="shared" si="33"/>
        <v>4998.32274010244</v>
      </c>
      <c r="AM23" s="125">
        <f t="shared" si="33"/>
        <v>7098.396340102421</v>
      </c>
      <c r="AN23" s="126">
        <f t="shared" si="33"/>
        <v>8650.429940102445</v>
      </c>
      <c r="AO23" s="124">
        <f t="shared" si="33"/>
        <v>-42224.44327823091</v>
      </c>
      <c r="AP23" s="125">
        <f t="shared" si="33"/>
        <v>25446.150101769093</v>
      </c>
      <c r="AQ23" s="125">
        <f t="shared" si="33"/>
        <v>17444.731406769108</v>
      </c>
      <c r="AR23" s="125">
        <f t="shared" si="33"/>
        <v>20075.71300676907</v>
      </c>
      <c r="AS23" s="125">
        <f t="shared" si="33"/>
        <v>22303.86929676909</v>
      </c>
      <c r="AT23" s="125">
        <f t="shared" si="33"/>
        <v>25017.186306769097</v>
      </c>
      <c r="AU23" s="125">
        <f t="shared" si="33"/>
        <v>33736.82858676911</v>
      </c>
      <c r="AV23" s="125">
        <f t="shared" si="33"/>
        <v>35516.405651769084</v>
      </c>
      <c r="AW23" s="125">
        <f t="shared" si="33"/>
        <v>38842.835101769066</v>
      </c>
      <c r="AX23" s="125">
        <f t="shared" si="33"/>
        <v>42042.37040676909</v>
      </c>
      <c r="AY23" s="125">
        <f t="shared" si="33"/>
        <v>45454.26215176909</v>
      </c>
      <c r="AZ23" s="126">
        <f t="shared" si="33"/>
        <v>49067.80905676909</v>
      </c>
      <c r="BA23" s="124">
        <f t="shared" si="33"/>
        <v>-5192.731336230854</v>
      </c>
      <c r="BB23" s="125">
        <f t="shared" si="33"/>
        <v>65643.6352301024</v>
      </c>
      <c r="BC23" s="125">
        <f t="shared" si="33"/>
        <v>59784.87784010247</v>
      </c>
      <c r="BD23" s="125">
        <f t="shared" si="33"/>
        <v>64018.0015851024</v>
      </c>
      <c r="BE23" s="125">
        <f t="shared" si="33"/>
        <v>69468.34878010245</v>
      </c>
      <c r="BF23" s="125">
        <f t="shared" si="33"/>
        <v>74268.25739010246</v>
      </c>
      <c r="BG23" s="125">
        <f t="shared" si="33"/>
        <v>-11436.604921596381</v>
      </c>
      <c r="BH23" s="125">
        <f t="shared" si="33"/>
        <v>90509.0760351024</v>
      </c>
      <c r="BI23" s="125">
        <f t="shared" si="33"/>
        <v>96620.20054010248</v>
      </c>
      <c r="BJ23" s="125">
        <f t="shared" si="33"/>
        <v>103146.47643010243</v>
      </c>
      <c r="BK23" s="125">
        <f t="shared" si="33"/>
        <v>109556.35918510244</v>
      </c>
      <c r="BL23" s="126">
        <f t="shared" si="33"/>
        <v>117062.15129010243</v>
      </c>
    </row>
    <row r="24" spans="2:64" ht="19.95" customHeight="1">
      <c r="B24" s="291" t="s">
        <v>46</v>
      </c>
      <c r="C24" s="291"/>
      <c r="D24" s="426">
        <v>0</v>
      </c>
      <c r="E24" s="71">
        <v>0</v>
      </c>
      <c r="F24" s="6">
        <v>0</v>
      </c>
      <c r="G24" s="6">
        <v>0</v>
      </c>
      <c r="H24" s="6">
        <v>0</v>
      </c>
      <c r="I24" s="6">
        <v>0</v>
      </c>
      <c r="J24" s="6">
        <v>0</v>
      </c>
      <c r="K24" s="6">
        <v>0</v>
      </c>
      <c r="L24" s="6">
        <v>0</v>
      </c>
      <c r="M24" s="6">
        <v>0</v>
      </c>
      <c r="N24" s="6">
        <v>0</v>
      </c>
      <c r="O24" s="6">
        <v>0</v>
      </c>
      <c r="P24" s="7">
        <v>0</v>
      </c>
      <c r="Q24" s="71">
        <v>0</v>
      </c>
      <c r="R24" s="6">
        <v>0</v>
      </c>
      <c r="S24" s="6">
        <v>0</v>
      </c>
      <c r="T24" s="6">
        <v>0</v>
      </c>
      <c r="U24" s="6">
        <v>0</v>
      </c>
      <c r="V24" s="6">
        <v>0</v>
      </c>
      <c r="W24" s="6">
        <v>0</v>
      </c>
      <c r="X24" s="6">
        <v>0</v>
      </c>
      <c r="Y24" s="6">
        <v>0</v>
      </c>
      <c r="Z24" s="6">
        <v>0</v>
      </c>
      <c r="AA24" s="6">
        <v>0</v>
      </c>
      <c r="AB24" s="7">
        <v>0</v>
      </c>
      <c r="AC24" s="71">
        <v>0</v>
      </c>
      <c r="AD24" s="6">
        <v>0</v>
      </c>
      <c r="AE24" s="6">
        <v>0</v>
      </c>
      <c r="AF24" s="6">
        <v>0</v>
      </c>
      <c r="AG24" s="6">
        <v>0</v>
      </c>
      <c r="AH24" s="6">
        <v>0</v>
      </c>
      <c r="AI24" s="6">
        <v>0</v>
      </c>
      <c r="AJ24" s="6">
        <v>0</v>
      </c>
      <c r="AK24" s="6">
        <v>0</v>
      </c>
      <c r="AL24" s="6">
        <v>0</v>
      </c>
      <c r="AM24" s="6">
        <v>0</v>
      </c>
      <c r="AN24" s="7">
        <v>0</v>
      </c>
      <c r="AO24" s="71">
        <v>0</v>
      </c>
      <c r="AP24" s="6">
        <v>0</v>
      </c>
      <c r="AQ24" s="6">
        <v>0</v>
      </c>
      <c r="AR24" s="6">
        <v>0</v>
      </c>
      <c r="AS24" s="6">
        <v>0</v>
      </c>
      <c r="AT24" s="6">
        <v>0</v>
      </c>
      <c r="AU24" s="6">
        <v>0</v>
      </c>
      <c r="AV24" s="6">
        <v>0</v>
      </c>
      <c r="AW24" s="6">
        <v>0</v>
      </c>
      <c r="AX24" s="6">
        <v>0</v>
      </c>
      <c r="AY24" s="6">
        <v>0</v>
      </c>
      <c r="AZ24" s="7">
        <v>0</v>
      </c>
      <c r="BA24" s="71">
        <v>0</v>
      </c>
      <c r="BB24" s="6">
        <v>0</v>
      </c>
      <c r="BC24" s="6">
        <v>0</v>
      </c>
      <c r="BD24" s="6">
        <v>0</v>
      </c>
      <c r="BE24" s="6">
        <v>0</v>
      </c>
      <c r="BF24" s="6">
        <v>0</v>
      </c>
      <c r="BG24" s="6">
        <v>0</v>
      </c>
      <c r="BH24" s="6">
        <v>0</v>
      </c>
      <c r="BI24" s="6">
        <v>0</v>
      </c>
      <c r="BJ24" s="6">
        <v>0</v>
      </c>
      <c r="BK24" s="6">
        <v>0</v>
      </c>
      <c r="BL24" s="7">
        <v>0</v>
      </c>
    </row>
    <row r="25" spans="2:64" s="521" customFormat="1" ht="19.95" customHeight="1">
      <c r="B25" s="518" t="s">
        <v>47</v>
      </c>
      <c r="C25" s="519"/>
      <c r="D25" s="400">
        <f>144999+99-142</f>
        <v>144956</v>
      </c>
      <c r="E25" s="442"/>
      <c r="F25" s="399">
        <v>0</v>
      </c>
      <c r="G25" s="399">
        <v>0</v>
      </c>
      <c r="H25" s="399">
        <v>0</v>
      </c>
      <c r="I25" s="399">
        <v>0</v>
      </c>
      <c r="J25" s="399">
        <v>0</v>
      </c>
      <c r="K25" s="399">
        <v>0</v>
      </c>
      <c r="L25" s="399">
        <v>0</v>
      </c>
      <c r="M25" s="399">
        <v>0</v>
      </c>
      <c r="N25" s="399">
        <v>200000</v>
      </c>
      <c r="O25" s="399">
        <v>0</v>
      </c>
      <c r="P25" s="400">
        <v>0</v>
      </c>
      <c r="Q25" s="442">
        <v>0</v>
      </c>
      <c r="R25" s="399">
        <v>0</v>
      </c>
      <c r="S25" s="399">
        <v>0</v>
      </c>
      <c r="T25" s="399">
        <v>0</v>
      </c>
      <c r="U25" s="399">
        <v>0</v>
      </c>
      <c r="V25" s="399">
        <v>0</v>
      </c>
      <c r="W25" s="399">
        <v>0</v>
      </c>
      <c r="X25" s="399">
        <v>0</v>
      </c>
      <c r="Y25" s="399">
        <v>0</v>
      </c>
      <c r="Z25" s="399">
        <v>0</v>
      </c>
      <c r="AA25" s="399">
        <v>0</v>
      </c>
      <c r="AB25" s="400">
        <v>0</v>
      </c>
      <c r="AC25" s="442"/>
      <c r="AD25" s="399">
        <v>0</v>
      </c>
      <c r="AE25" s="399">
        <v>0</v>
      </c>
      <c r="AF25" s="399">
        <v>0</v>
      </c>
      <c r="AG25" s="399">
        <v>0</v>
      </c>
      <c r="AH25" s="399">
        <v>0</v>
      </c>
      <c r="AI25" s="399">
        <v>0</v>
      </c>
      <c r="AJ25" s="399">
        <v>0</v>
      </c>
      <c r="AK25" s="399">
        <v>0</v>
      </c>
      <c r="AL25" s="399">
        <v>0</v>
      </c>
      <c r="AM25" s="399">
        <v>0</v>
      </c>
      <c r="AN25" s="400">
        <v>0</v>
      </c>
      <c r="AO25" s="442">
        <v>0</v>
      </c>
      <c r="AP25" s="399">
        <v>0</v>
      </c>
      <c r="AQ25" s="399">
        <v>0</v>
      </c>
      <c r="AR25" s="399">
        <v>0</v>
      </c>
      <c r="AS25" s="399">
        <v>0</v>
      </c>
      <c r="AT25" s="399">
        <v>0</v>
      </c>
      <c r="AU25" s="399">
        <v>0</v>
      </c>
      <c r="AV25" s="399">
        <v>0</v>
      </c>
      <c r="AW25" s="399">
        <v>0</v>
      </c>
      <c r="AX25" s="399">
        <v>0</v>
      </c>
      <c r="AY25" s="399">
        <v>0</v>
      </c>
      <c r="AZ25" s="400">
        <v>0</v>
      </c>
      <c r="BA25" s="442">
        <v>0</v>
      </c>
      <c r="BB25" s="399">
        <v>0</v>
      </c>
      <c r="BC25" s="399">
        <v>0</v>
      </c>
      <c r="BD25" s="399">
        <v>0</v>
      </c>
      <c r="BE25" s="399">
        <v>0</v>
      </c>
      <c r="BF25" s="399">
        <v>0</v>
      </c>
      <c r="BG25" s="399">
        <v>0</v>
      </c>
      <c r="BH25" s="399">
        <v>0</v>
      </c>
      <c r="BI25" s="399">
        <v>0</v>
      </c>
      <c r="BJ25" s="399">
        <v>0</v>
      </c>
      <c r="BK25" s="399">
        <v>0</v>
      </c>
      <c r="BL25" s="400">
        <v>0</v>
      </c>
    </row>
    <row r="26" spans="2:64" s="341" customFormat="1" ht="19.95" customHeight="1" thickBot="1">
      <c r="B26" s="412" t="s">
        <v>169</v>
      </c>
      <c r="C26" s="412"/>
      <c r="D26" s="355">
        <f>+D23+D24+D25</f>
        <v>43752</v>
      </c>
      <c r="E26" s="353">
        <f>+E23-E24+E25</f>
        <v>-6189.733728395066</v>
      </c>
      <c r="F26" s="354">
        <f aca="true" t="shared" si="34" ref="F26:R26">+F23-F24+F25</f>
        <v>-3588.9970617283984</v>
      </c>
      <c r="G26" s="354">
        <f t="shared" si="34"/>
        <v>-3240.225266666667</v>
      </c>
      <c r="H26" s="354">
        <f t="shared" si="34"/>
        <v>-2999.7341666666666</v>
      </c>
      <c r="I26" s="354">
        <f t="shared" si="34"/>
        <v>-2276.957966666667</v>
      </c>
      <c r="J26" s="354">
        <f t="shared" si="34"/>
        <v>6321.055766666666</v>
      </c>
      <c r="K26" s="354">
        <f t="shared" si="34"/>
        <v>-1652.1020333333336</v>
      </c>
      <c r="L26" s="354">
        <f t="shared" si="34"/>
        <v>-1622.0568333333338</v>
      </c>
      <c r="M26" s="354">
        <f t="shared" si="34"/>
        <v>-7393.014166666668</v>
      </c>
      <c r="N26" s="354">
        <f t="shared" si="34"/>
        <v>173478.72311666666</v>
      </c>
      <c r="O26" s="354">
        <f t="shared" si="34"/>
        <v>-8840.433600000002</v>
      </c>
      <c r="P26" s="355">
        <f t="shared" si="34"/>
        <v>-11198.109799999997</v>
      </c>
      <c r="Q26" s="353">
        <f>+Q23-Q24+Q25</f>
        <v>-42605.88340333333</v>
      </c>
      <c r="R26" s="354">
        <f t="shared" si="34"/>
        <v>-4648.76696666668</v>
      </c>
      <c r="S26" s="354">
        <f>+S23-S24+S25</f>
        <v>-8542.200166666671</v>
      </c>
      <c r="T26" s="354">
        <f aca="true" t="shared" si="35" ref="T26:AD26">+T23-T24+T25</f>
        <v>-8116.3589666666685</v>
      </c>
      <c r="U26" s="354">
        <f t="shared" si="35"/>
        <v>-7448.398966666669</v>
      </c>
      <c r="V26" s="354">
        <f t="shared" si="35"/>
        <v>-6563.913366666664</v>
      </c>
      <c r="W26" s="354">
        <f t="shared" si="35"/>
        <v>-4694.771366666681</v>
      </c>
      <c r="X26" s="354">
        <f t="shared" si="35"/>
        <v>-4200.472821666665</v>
      </c>
      <c r="Y26" s="354">
        <f t="shared" si="35"/>
        <v>-2989.03751666668</v>
      </c>
      <c r="Z26" s="354">
        <f t="shared" si="35"/>
        <v>-2168.093516666677</v>
      </c>
      <c r="AA26" s="354">
        <f t="shared" si="35"/>
        <v>-1233.7815166666717</v>
      </c>
      <c r="AB26" s="355">
        <f t="shared" si="35"/>
        <v>-19.59137166664929</v>
      </c>
      <c r="AC26" s="353">
        <f t="shared" si="35"/>
        <v>-49159.35773499997</v>
      </c>
      <c r="AD26" s="354">
        <f t="shared" si="35"/>
        <v>1584.8723500000135</v>
      </c>
      <c r="AE26" s="354">
        <f>+AE23-AE24+AE25</f>
        <v>-4861.957105000001</v>
      </c>
      <c r="AF26" s="354">
        <f aca="true" t="shared" si="36" ref="AF26:AQ26">+AF23-AF24+AF25</f>
        <v>-3899.671800000003</v>
      </c>
      <c r="AG26" s="354">
        <f t="shared" si="36"/>
        <v>-2406.9977999999674</v>
      </c>
      <c r="AH26" s="354">
        <f t="shared" si="36"/>
        <v>-1258.0440148975638</v>
      </c>
      <c r="AI26" s="354">
        <f t="shared" si="36"/>
        <v>243.7152901024363</v>
      </c>
      <c r="AJ26" s="354">
        <f t="shared" si="36"/>
        <v>1708.9352901024156</v>
      </c>
      <c r="AK26" s="354">
        <f t="shared" si="36"/>
        <v>3524.0174351024452</v>
      </c>
      <c r="AL26" s="354">
        <f t="shared" si="36"/>
        <v>4998.32274010244</v>
      </c>
      <c r="AM26" s="354">
        <f t="shared" si="36"/>
        <v>7098.396340102421</v>
      </c>
      <c r="AN26" s="355">
        <f t="shared" si="36"/>
        <v>8650.429940102445</v>
      </c>
      <c r="AO26" s="353">
        <f t="shared" si="36"/>
        <v>-42224.44327823091</v>
      </c>
      <c r="AP26" s="354">
        <f t="shared" si="36"/>
        <v>25446.150101769093</v>
      </c>
      <c r="AQ26" s="354">
        <f t="shared" si="36"/>
        <v>17444.731406769108</v>
      </c>
      <c r="AR26" s="354">
        <f aca="true" t="shared" si="37" ref="AR26:BC26">+AR23-AR24+AR25</f>
        <v>20075.71300676907</v>
      </c>
      <c r="AS26" s="354">
        <f t="shared" si="37"/>
        <v>22303.86929676909</v>
      </c>
      <c r="AT26" s="354">
        <f t="shared" si="37"/>
        <v>25017.186306769097</v>
      </c>
      <c r="AU26" s="354">
        <f t="shared" si="37"/>
        <v>33736.82858676911</v>
      </c>
      <c r="AV26" s="354">
        <f t="shared" si="37"/>
        <v>35516.405651769084</v>
      </c>
      <c r="AW26" s="354">
        <f t="shared" si="37"/>
        <v>38842.835101769066</v>
      </c>
      <c r="AX26" s="354">
        <f t="shared" si="37"/>
        <v>42042.37040676909</v>
      </c>
      <c r="AY26" s="354">
        <f t="shared" si="37"/>
        <v>45454.26215176909</v>
      </c>
      <c r="AZ26" s="355">
        <f t="shared" si="37"/>
        <v>49067.80905676909</v>
      </c>
      <c r="BA26" s="353">
        <f t="shared" si="37"/>
        <v>-5192.731336230854</v>
      </c>
      <c r="BB26" s="354">
        <f t="shared" si="37"/>
        <v>65643.6352301024</v>
      </c>
      <c r="BC26" s="354">
        <f t="shared" si="37"/>
        <v>59784.87784010247</v>
      </c>
      <c r="BD26" s="354">
        <f aca="true" t="shared" si="38" ref="BD26:BL26">+BD23-BD24+BD25</f>
        <v>64018.0015851024</v>
      </c>
      <c r="BE26" s="354">
        <f t="shared" si="38"/>
        <v>69468.34878010245</v>
      </c>
      <c r="BF26" s="354">
        <f t="shared" si="38"/>
        <v>74268.25739010246</v>
      </c>
      <c r="BG26" s="354">
        <f t="shared" si="38"/>
        <v>-11436.604921596381</v>
      </c>
      <c r="BH26" s="354">
        <f t="shared" si="38"/>
        <v>90509.0760351024</v>
      </c>
      <c r="BI26" s="354">
        <f t="shared" si="38"/>
        <v>96620.20054010248</v>
      </c>
      <c r="BJ26" s="354">
        <f t="shared" si="38"/>
        <v>103146.47643010243</v>
      </c>
      <c r="BK26" s="354">
        <f t="shared" si="38"/>
        <v>109556.35918510244</v>
      </c>
      <c r="BL26" s="355">
        <f t="shared" si="38"/>
        <v>117062.15129010243</v>
      </c>
    </row>
    <row r="27" spans="2:3" s="6" customFormat="1" ht="25.95" customHeight="1" thickBot="1">
      <c r="B27" s="78"/>
      <c r="C27" s="78"/>
    </row>
    <row r="28" spans="2:64" s="315" customFormat="1" ht="25.95" customHeight="1" thickBot="1">
      <c r="B28" s="316" t="s">
        <v>38</v>
      </c>
      <c r="C28" s="319">
        <v>986</v>
      </c>
      <c r="D28" s="319">
        <f>+D26+C28</f>
        <v>44738</v>
      </c>
      <c r="E28" s="317">
        <f>+D28+E26</f>
        <v>38548.26627160494</v>
      </c>
      <c r="F28" s="318">
        <f>+E28+F26</f>
        <v>34959.26920987654</v>
      </c>
      <c r="G28" s="318">
        <f>+F28+G26</f>
        <v>31719.043943209872</v>
      </c>
      <c r="H28" s="318">
        <f aca="true" t="shared" si="39" ref="H28:S28">+G28+H26</f>
        <v>28719.309776543207</v>
      </c>
      <c r="I28" s="318">
        <f t="shared" si="39"/>
        <v>26442.35180987654</v>
      </c>
      <c r="J28" s="318">
        <f t="shared" si="39"/>
        <v>32763.407576543206</v>
      </c>
      <c r="K28" s="318">
        <f aca="true" t="shared" si="40" ref="K28:O28">+J28+K26</f>
        <v>31111.305543209874</v>
      </c>
      <c r="L28" s="318">
        <f t="shared" si="40"/>
        <v>29489.24870987654</v>
      </c>
      <c r="M28" s="318">
        <f t="shared" si="40"/>
        <v>22096.234543209874</v>
      </c>
      <c r="N28" s="318">
        <f t="shared" si="40"/>
        <v>195574.95765987653</v>
      </c>
      <c r="O28" s="318">
        <f t="shared" si="40"/>
        <v>186734.52405987654</v>
      </c>
      <c r="P28" s="319">
        <f>+O28+P26</f>
        <v>175536.41425987653</v>
      </c>
      <c r="Q28" s="317">
        <f>+P28+Q26</f>
        <v>132930.5308565432</v>
      </c>
      <c r="R28" s="318">
        <f t="shared" si="39"/>
        <v>128281.76388987651</v>
      </c>
      <c r="S28" s="318">
        <f t="shared" si="39"/>
        <v>119739.56372320984</v>
      </c>
      <c r="T28" s="318">
        <f aca="true" t="shared" si="41" ref="T28">+S28+T26</f>
        <v>111623.20475654317</v>
      </c>
      <c r="U28" s="318">
        <f aca="true" t="shared" si="42" ref="U28">+T28+U26</f>
        <v>104174.8057898765</v>
      </c>
      <c r="V28" s="318">
        <f aca="true" t="shared" si="43" ref="V28">+U28+V26</f>
        <v>97610.89242320984</v>
      </c>
      <c r="W28" s="318">
        <f>+V28+W26</f>
        <v>92916.12105654315</v>
      </c>
      <c r="X28" s="318">
        <f aca="true" t="shared" si="44" ref="X28">+W28+X26</f>
        <v>88715.64823487648</v>
      </c>
      <c r="Y28" s="318">
        <f aca="true" t="shared" si="45" ref="Y28">+X28+Y26</f>
        <v>85726.6107182098</v>
      </c>
      <c r="Z28" s="318">
        <f aca="true" t="shared" si="46" ref="Z28">+Y28+Z26</f>
        <v>83558.51720154313</v>
      </c>
      <c r="AA28" s="318">
        <f aca="true" t="shared" si="47" ref="AA28">+Z28+AA26</f>
        <v>82324.73568487646</v>
      </c>
      <c r="AB28" s="319">
        <f>+AA28+AB26</f>
        <v>82305.1443132098</v>
      </c>
      <c r="AC28" s="317">
        <f aca="true" t="shared" si="48" ref="AC28">+AB28+AC26</f>
        <v>33145.78657820984</v>
      </c>
      <c r="AD28" s="318">
        <f aca="true" t="shared" si="49" ref="AD28">+AC28+AD26</f>
        <v>34730.65892820985</v>
      </c>
      <c r="AE28" s="318">
        <f>+AD28+AE26</f>
        <v>29868.70182320985</v>
      </c>
      <c r="AF28" s="318">
        <f aca="true" t="shared" si="50" ref="AF28">+AE28+AF26</f>
        <v>25969.030023209845</v>
      </c>
      <c r="AG28" s="318">
        <f aca="true" t="shared" si="51" ref="AG28">+AF28+AG26</f>
        <v>23562.032223209877</v>
      </c>
      <c r="AH28" s="318">
        <f aca="true" t="shared" si="52" ref="AH28">+AG28+AH26</f>
        <v>22303.988208312312</v>
      </c>
      <c r="AI28" s="318">
        <f aca="true" t="shared" si="53" ref="AI28">+AH28+AI26</f>
        <v>22547.703498414747</v>
      </c>
      <c r="AJ28" s="318">
        <f aca="true" t="shared" si="54" ref="AJ28">+AI28+AJ26</f>
        <v>24256.63878851716</v>
      </c>
      <c r="AK28" s="318">
        <f aca="true" t="shared" si="55" ref="AK28">+AJ28+AK26</f>
        <v>27780.656223619604</v>
      </c>
      <c r="AL28" s="318">
        <f aca="true" t="shared" si="56" ref="AL28">+AK28+AL26</f>
        <v>32778.978963722046</v>
      </c>
      <c r="AM28" s="318">
        <f aca="true" t="shared" si="57" ref="AM28">+AL28+AM26</f>
        <v>39877.37530382447</v>
      </c>
      <c r="AN28" s="319">
        <f>+AM28+AN26</f>
        <v>48527.805243926916</v>
      </c>
      <c r="AO28" s="317">
        <f aca="true" t="shared" si="58" ref="AO28">+AN28+AO26</f>
        <v>6303.361965696007</v>
      </c>
      <c r="AP28" s="318">
        <f aca="true" t="shared" si="59" ref="AP28">+AO28+AP26</f>
        <v>31749.5120674651</v>
      </c>
      <c r="AQ28" s="318">
        <f aca="true" t="shared" si="60" ref="AQ28">+AP28+AQ26</f>
        <v>49194.24347423421</v>
      </c>
      <c r="AR28" s="318">
        <f aca="true" t="shared" si="61" ref="AR28">+AQ28+AR26</f>
        <v>69269.95648100328</v>
      </c>
      <c r="AS28" s="318">
        <f aca="true" t="shared" si="62" ref="AS28">+AR28+AS26</f>
        <v>91573.82577777236</v>
      </c>
      <c r="AT28" s="318">
        <f aca="true" t="shared" si="63" ref="AT28">+AS28+AT26</f>
        <v>116591.01208454146</v>
      </c>
      <c r="AU28" s="318">
        <f aca="true" t="shared" si="64" ref="AU28">+AT28+AU26</f>
        <v>150327.84067131058</v>
      </c>
      <c r="AV28" s="318">
        <f aca="true" t="shared" si="65" ref="AV28">+AU28+AV26</f>
        <v>185844.24632307966</v>
      </c>
      <c r="AW28" s="318">
        <f aca="true" t="shared" si="66" ref="AW28">+AV28+AW26</f>
        <v>224687.08142484873</v>
      </c>
      <c r="AX28" s="318">
        <f aca="true" t="shared" si="67" ref="AX28">+AW28+AX26</f>
        <v>266729.4518316178</v>
      </c>
      <c r="AY28" s="318">
        <f>+AX28+AY26</f>
        <v>312183.7139833869</v>
      </c>
      <c r="AZ28" s="319">
        <f>+AY28+AZ26</f>
        <v>361251.52304015594</v>
      </c>
      <c r="BA28" s="317">
        <f aca="true" t="shared" si="68" ref="BA28">+AZ28+BA26</f>
        <v>356058.79170392506</v>
      </c>
      <c r="BB28" s="318">
        <f aca="true" t="shared" si="69" ref="BB28">+BA28+BB26</f>
        <v>421702.42693402746</v>
      </c>
      <c r="BC28" s="318">
        <f aca="true" t="shared" si="70" ref="BC28">+BB28+BC26</f>
        <v>481487.30477412994</v>
      </c>
      <c r="BD28" s="318">
        <f aca="true" t="shared" si="71" ref="BD28">+BC28+BD26</f>
        <v>545505.3063592323</v>
      </c>
      <c r="BE28" s="318">
        <f aca="true" t="shared" si="72" ref="BE28">+BD28+BE26</f>
        <v>614973.6551393347</v>
      </c>
      <c r="BF28" s="318">
        <f aca="true" t="shared" si="73" ref="BF28">+BE28+BF26</f>
        <v>689241.9125294372</v>
      </c>
      <c r="BG28" s="318">
        <f aca="true" t="shared" si="74" ref="BG28">+BF28+BG26</f>
        <v>677805.3076078409</v>
      </c>
      <c r="BH28" s="318">
        <f aca="true" t="shared" si="75" ref="BH28">+BG28+BH26</f>
        <v>768314.3836429432</v>
      </c>
      <c r="BI28" s="318">
        <f aca="true" t="shared" si="76" ref="BI28">+BH28+BI26</f>
        <v>864934.5841830457</v>
      </c>
      <c r="BJ28" s="318">
        <f aca="true" t="shared" si="77" ref="BJ28">+BI28+BJ26</f>
        <v>968081.0606131481</v>
      </c>
      <c r="BK28" s="318">
        <f aca="true" t="shared" si="78" ref="BK28">+BJ28+BK26</f>
        <v>1077637.4197982505</v>
      </c>
      <c r="BL28" s="319">
        <f>+BK28+BL26</f>
        <v>1194699.571088353</v>
      </c>
    </row>
    <row r="29" spans="2:6" s="6" customFormat="1" ht="16.05" customHeight="1">
      <c r="B29" s="1562"/>
      <c r="C29" s="1562"/>
      <c r="D29" s="320"/>
      <c r="E29" s="320"/>
      <c r="F29" s="320"/>
    </row>
    <row r="30" ht="16.05" customHeight="1"/>
    <row r="31" ht="15.75">
      <c r="D31" s="652"/>
    </row>
    <row r="32" ht="15.75">
      <c r="D32" s="961"/>
    </row>
    <row r="37" ht="15.75">
      <c r="D37" s="1"/>
    </row>
  </sheetData>
  <sheetProtection algorithmName="SHA-512" hashValue="Z5qFhUw2hKz1OqmFFwD+uyySmNQ7qAp0rPFspHIdTr/ZA1MqZRcHdg0izokqIzoKYoduBMGgs0xisp9NG8n54A==" saltValue="OpwnitqEFWuJfKL82mRfkg==" spinCount="100000" sheet="1" objects="1" scenarios="1"/>
  <mergeCells count="8">
    <mergeCell ref="BA2:BL3"/>
    <mergeCell ref="AC2:AN3"/>
    <mergeCell ref="AO2:AZ3"/>
    <mergeCell ref="B29:C29"/>
    <mergeCell ref="B2:C4"/>
    <mergeCell ref="D2:D3"/>
    <mergeCell ref="E2:P3"/>
    <mergeCell ref="Q2:AB3"/>
  </mergeCells>
  <conditionalFormatting sqref="D28:S28">
    <cfRule type="colorScale" priority="10">
      <colorScale>
        <cfvo type="formula" val="&quot;&lt;0&quot;"/>
        <cfvo type="formula" val="&quot;&gt;0&quot;"/>
        <color rgb="FFC00000"/>
        <color rgb="FF00B050"/>
      </colorScale>
    </cfRule>
  </conditionalFormatting>
  <conditionalFormatting sqref="T28:AB28">
    <cfRule type="colorScale" priority="8">
      <colorScale>
        <cfvo type="formula" val="&quot;&lt;0&quot;"/>
        <cfvo type="formula" val="&quot;&gt;0&quot;"/>
        <color rgb="FFC00000"/>
        <color rgb="FF00B050"/>
      </colorScale>
    </cfRule>
  </conditionalFormatting>
  <conditionalFormatting sqref="AC28:AE28">
    <cfRule type="colorScale" priority="7">
      <colorScale>
        <cfvo type="formula" val="&quot;&lt;0&quot;"/>
        <cfvo type="formula" val="&quot;&gt;0&quot;"/>
        <color rgb="FFC00000"/>
        <color rgb="FF00B050"/>
      </colorScale>
    </cfRule>
  </conditionalFormatting>
  <conditionalFormatting sqref="AF28:AN28">
    <cfRule type="colorScale" priority="6">
      <colorScale>
        <cfvo type="formula" val="&quot;&lt;0&quot;"/>
        <cfvo type="formula" val="&quot;&gt;0&quot;"/>
        <color rgb="FFC00000"/>
        <color rgb="FF00B050"/>
      </colorScale>
    </cfRule>
  </conditionalFormatting>
  <conditionalFormatting sqref="AO28:AQ28">
    <cfRule type="colorScale" priority="5">
      <colorScale>
        <cfvo type="formula" val="&quot;&lt;0&quot;"/>
        <cfvo type="formula" val="&quot;&gt;0&quot;"/>
        <color rgb="FFC00000"/>
        <color rgb="FF00B050"/>
      </colorScale>
    </cfRule>
  </conditionalFormatting>
  <conditionalFormatting sqref="AR28:AZ28">
    <cfRule type="colorScale" priority="4">
      <colorScale>
        <cfvo type="formula" val="&quot;&lt;0&quot;"/>
        <cfvo type="formula" val="&quot;&gt;0&quot;"/>
        <color rgb="FFC00000"/>
        <color rgb="FF00B050"/>
      </colorScale>
    </cfRule>
  </conditionalFormatting>
  <conditionalFormatting sqref="BA28:BC28">
    <cfRule type="colorScale" priority="3">
      <colorScale>
        <cfvo type="formula" val="&quot;&lt;0&quot;"/>
        <cfvo type="formula" val="&quot;&gt;0&quot;"/>
        <color rgb="FFC00000"/>
        <color rgb="FF00B050"/>
      </colorScale>
    </cfRule>
  </conditionalFormatting>
  <conditionalFormatting sqref="BD28:BL28">
    <cfRule type="colorScale" priority="2">
      <colorScale>
        <cfvo type="formula" val="&quot;&lt;0&quot;"/>
        <cfvo type="formula" val="&quot;&gt;0&quot;"/>
        <color rgb="FFC00000"/>
        <color rgb="FF00B050"/>
      </colorScale>
    </cfRule>
  </conditionalFormatting>
  <conditionalFormatting sqref="C28">
    <cfRule type="colorScale" priority="1">
      <colorScale>
        <cfvo type="formula" val="&quot;&lt;0&quot;"/>
        <cfvo type="formula" val="&quot;&gt;0&quot;"/>
        <color rgb="FFC00000"/>
        <color rgb="FF00B050"/>
      </colorScale>
    </cfRule>
  </conditionalFormatting>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N77"/>
  <sheetViews>
    <sheetView zoomScale="61" zoomScaleNormal="61" zoomScalePageLayoutView="70" workbookViewId="0" topLeftCell="A1">
      <pane xSplit="2" topLeftCell="C1" activePane="topRight" state="frozen"/>
      <selection pane="topRight" activeCell="BA10" sqref="BA10"/>
    </sheetView>
  </sheetViews>
  <sheetFormatPr defaultColWidth="10.25390625" defaultRowHeight="15.75"/>
  <cols>
    <col min="1" max="1" width="10.25390625" style="2" customWidth="1"/>
    <col min="2" max="2" width="41.25390625" style="2" customWidth="1"/>
    <col min="3" max="3" width="13.50390625" style="81" customWidth="1"/>
    <col min="4" max="64" width="15.25390625" style="2" customWidth="1"/>
    <col min="65" max="16384" width="10.25390625" style="2" customWidth="1"/>
  </cols>
  <sheetData>
    <row r="2" ht="15.75">
      <c r="B2" s="5" t="s">
        <v>49</v>
      </c>
    </row>
    <row r="3" ht="15.75">
      <c r="B3" s="5"/>
    </row>
    <row r="4" ht="16.2" thickBot="1"/>
    <row r="5" spans="2:64" s="81" customFormat="1" ht="48" customHeight="1">
      <c r="B5" s="1608" t="s">
        <v>50</v>
      </c>
      <c r="C5" s="1603"/>
      <c r="D5" s="1599">
        <f>+Assumptions!C3</f>
        <v>2019</v>
      </c>
      <c r="E5" s="1597">
        <f>1+D5</f>
        <v>2020</v>
      </c>
      <c r="F5" s="1598"/>
      <c r="G5" s="1598"/>
      <c r="H5" s="1598"/>
      <c r="I5" s="1598"/>
      <c r="J5" s="1598"/>
      <c r="K5" s="1598"/>
      <c r="L5" s="1598"/>
      <c r="M5" s="1598"/>
      <c r="N5" s="1598"/>
      <c r="O5" s="1598"/>
      <c r="P5" s="1599"/>
      <c r="Q5" s="1597">
        <f>1+E5</f>
        <v>2021</v>
      </c>
      <c r="R5" s="1598"/>
      <c r="S5" s="1598"/>
      <c r="T5" s="1598"/>
      <c r="U5" s="1598"/>
      <c r="V5" s="1598"/>
      <c r="W5" s="1598"/>
      <c r="X5" s="1598"/>
      <c r="Y5" s="1598"/>
      <c r="Z5" s="1598"/>
      <c r="AA5" s="1598"/>
      <c r="AB5" s="1599"/>
      <c r="AC5" s="1597">
        <f>1+Q5</f>
        <v>2022</v>
      </c>
      <c r="AD5" s="1598"/>
      <c r="AE5" s="1598"/>
      <c r="AF5" s="1598"/>
      <c r="AG5" s="1598"/>
      <c r="AH5" s="1598"/>
      <c r="AI5" s="1598"/>
      <c r="AJ5" s="1598"/>
      <c r="AK5" s="1598"/>
      <c r="AL5" s="1598"/>
      <c r="AM5" s="1598"/>
      <c r="AN5" s="1599"/>
      <c r="AO5" s="1597">
        <f>1+AC5</f>
        <v>2023</v>
      </c>
      <c r="AP5" s="1598"/>
      <c r="AQ5" s="1598"/>
      <c r="AR5" s="1598"/>
      <c r="AS5" s="1598"/>
      <c r="AT5" s="1598"/>
      <c r="AU5" s="1598"/>
      <c r="AV5" s="1598"/>
      <c r="AW5" s="1598"/>
      <c r="AX5" s="1598"/>
      <c r="AY5" s="1598"/>
      <c r="AZ5" s="1599"/>
      <c r="BA5" s="1597">
        <f>1+AO5</f>
        <v>2024</v>
      </c>
      <c r="BB5" s="1598"/>
      <c r="BC5" s="1598"/>
      <c r="BD5" s="1598"/>
      <c r="BE5" s="1598"/>
      <c r="BF5" s="1598"/>
      <c r="BG5" s="1598"/>
      <c r="BH5" s="1598"/>
      <c r="BI5" s="1598"/>
      <c r="BJ5" s="1598"/>
      <c r="BK5" s="1598"/>
      <c r="BL5" s="1599"/>
    </row>
    <row r="6" spans="2:64" s="81" customFormat="1" ht="16.95" customHeight="1" thickBot="1">
      <c r="B6" s="1609"/>
      <c r="C6" s="1604"/>
      <c r="D6" s="1602"/>
      <c r="E6" s="1600"/>
      <c r="F6" s="1601"/>
      <c r="G6" s="1601"/>
      <c r="H6" s="1601"/>
      <c r="I6" s="1601"/>
      <c r="J6" s="1601"/>
      <c r="K6" s="1601"/>
      <c r="L6" s="1601"/>
      <c r="M6" s="1601"/>
      <c r="N6" s="1601"/>
      <c r="O6" s="1601"/>
      <c r="P6" s="1602"/>
      <c r="Q6" s="1600"/>
      <c r="R6" s="1601"/>
      <c r="S6" s="1601"/>
      <c r="T6" s="1601"/>
      <c r="U6" s="1601"/>
      <c r="V6" s="1601"/>
      <c r="W6" s="1601"/>
      <c r="X6" s="1601"/>
      <c r="Y6" s="1601"/>
      <c r="Z6" s="1601"/>
      <c r="AA6" s="1601"/>
      <c r="AB6" s="1602"/>
      <c r="AC6" s="1600"/>
      <c r="AD6" s="1601"/>
      <c r="AE6" s="1601"/>
      <c r="AF6" s="1601"/>
      <c r="AG6" s="1601"/>
      <c r="AH6" s="1601"/>
      <c r="AI6" s="1601"/>
      <c r="AJ6" s="1601"/>
      <c r="AK6" s="1601"/>
      <c r="AL6" s="1601"/>
      <c r="AM6" s="1601"/>
      <c r="AN6" s="1602"/>
      <c r="AO6" s="1600"/>
      <c r="AP6" s="1601"/>
      <c r="AQ6" s="1601"/>
      <c r="AR6" s="1601"/>
      <c r="AS6" s="1601"/>
      <c r="AT6" s="1601"/>
      <c r="AU6" s="1601"/>
      <c r="AV6" s="1601"/>
      <c r="AW6" s="1601"/>
      <c r="AX6" s="1601"/>
      <c r="AY6" s="1601"/>
      <c r="AZ6" s="1602"/>
      <c r="BA6" s="1600"/>
      <c r="BB6" s="1601"/>
      <c r="BC6" s="1601"/>
      <c r="BD6" s="1601"/>
      <c r="BE6" s="1601"/>
      <c r="BF6" s="1601"/>
      <c r="BG6" s="1601"/>
      <c r="BH6" s="1601"/>
      <c r="BI6" s="1601"/>
      <c r="BJ6" s="1601"/>
      <c r="BK6" s="1601"/>
      <c r="BL6" s="1602"/>
    </row>
    <row r="7" spans="2:64" s="367" customFormat="1" ht="21" customHeight="1" thickBot="1">
      <c r="B7" s="1609"/>
      <c r="C7" s="1605"/>
      <c r="D7" s="260"/>
      <c r="E7" s="261" t="s">
        <v>187</v>
      </c>
      <c r="F7" s="259" t="s">
        <v>188</v>
      </c>
      <c r="G7" s="259" t="s">
        <v>189</v>
      </c>
      <c r="H7" s="259" t="s">
        <v>190</v>
      </c>
      <c r="I7" s="259" t="s">
        <v>8</v>
      </c>
      <c r="J7" s="259" t="s">
        <v>191</v>
      </c>
      <c r="K7" s="259" t="s">
        <v>192</v>
      </c>
      <c r="L7" s="259" t="s">
        <v>193</v>
      </c>
      <c r="M7" s="259" t="s">
        <v>194</v>
      </c>
      <c r="N7" s="259" t="s">
        <v>195</v>
      </c>
      <c r="O7" s="259" t="s">
        <v>196</v>
      </c>
      <c r="P7" s="260" t="s">
        <v>197</v>
      </c>
      <c r="Q7" s="261" t="s">
        <v>187</v>
      </c>
      <c r="R7" s="259" t="s">
        <v>188</v>
      </c>
      <c r="S7" s="259" t="s">
        <v>189</v>
      </c>
      <c r="T7" s="259" t="s">
        <v>190</v>
      </c>
      <c r="U7" s="259" t="s">
        <v>8</v>
      </c>
      <c r="V7" s="259" t="s">
        <v>191</v>
      </c>
      <c r="W7" s="259" t="s">
        <v>192</v>
      </c>
      <c r="X7" s="259" t="s">
        <v>193</v>
      </c>
      <c r="Y7" s="259" t="s">
        <v>194</v>
      </c>
      <c r="Z7" s="259" t="s">
        <v>195</v>
      </c>
      <c r="AA7" s="259" t="s">
        <v>196</v>
      </c>
      <c r="AB7" s="260" t="s">
        <v>197</v>
      </c>
      <c r="AC7" s="261" t="s">
        <v>187</v>
      </c>
      <c r="AD7" s="259" t="s">
        <v>188</v>
      </c>
      <c r="AE7" s="259" t="s">
        <v>189</v>
      </c>
      <c r="AF7" s="259" t="s">
        <v>190</v>
      </c>
      <c r="AG7" s="259" t="s">
        <v>8</v>
      </c>
      <c r="AH7" s="259" t="s">
        <v>191</v>
      </c>
      <c r="AI7" s="259" t="s">
        <v>192</v>
      </c>
      <c r="AJ7" s="259" t="s">
        <v>193</v>
      </c>
      <c r="AK7" s="259" t="s">
        <v>194</v>
      </c>
      <c r="AL7" s="259" t="s">
        <v>195</v>
      </c>
      <c r="AM7" s="259" t="s">
        <v>196</v>
      </c>
      <c r="AN7" s="260" t="s">
        <v>197</v>
      </c>
      <c r="AO7" s="261" t="s">
        <v>187</v>
      </c>
      <c r="AP7" s="259" t="s">
        <v>188</v>
      </c>
      <c r="AQ7" s="259" t="s">
        <v>189</v>
      </c>
      <c r="AR7" s="259" t="s">
        <v>190</v>
      </c>
      <c r="AS7" s="259" t="s">
        <v>8</v>
      </c>
      <c r="AT7" s="259" t="s">
        <v>191</v>
      </c>
      <c r="AU7" s="259" t="s">
        <v>192</v>
      </c>
      <c r="AV7" s="259" t="s">
        <v>193</v>
      </c>
      <c r="AW7" s="259" t="s">
        <v>194</v>
      </c>
      <c r="AX7" s="259" t="s">
        <v>195</v>
      </c>
      <c r="AY7" s="259" t="s">
        <v>196</v>
      </c>
      <c r="AZ7" s="260" t="s">
        <v>197</v>
      </c>
      <c r="BA7" s="261" t="s">
        <v>187</v>
      </c>
      <c r="BB7" s="259" t="s">
        <v>188</v>
      </c>
      <c r="BC7" s="259" t="s">
        <v>189</v>
      </c>
      <c r="BD7" s="259" t="s">
        <v>190</v>
      </c>
      <c r="BE7" s="259" t="s">
        <v>8</v>
      </c>
      <c r="BF7" s="259" t="s">
        <v>191</v>
      </c>
      <c r="BG7" s="259" t="s">
        <v>192</v>
      </c>
      <c r="BH7" s="259" t="s">
        <v>193</v>
      </c>
      <c r="BI7" s="259" t="s">
        <v>194</v>
      </c>
      <c r="BJ7" s="259" t="s">
        <v>195</v>
      </c>
      <c r="BK7" s="259" t="s">
        <v>196</v>
      </c>
      <c r="BL7" s="260" t="s">
        <v>197</v>
      </c>
    </row>
    <row r="8" spans="1:64" s="307" customFormat="1" ht="15.75">
      <c r="A8" s="446"/>
      <c r="B8" s="633" t="s">
        <v>252</v>
      </c>
      <c r="C8" s="447"/>
      <c r="D8" s="450">
        <f>SUM(D9:D15)</f>
        <v>88205</v>
      </c>
      <c r="E8" s="448">
        <f aca="true" t="shared" si="0" ref="E8:BL8">SUM(E9:E15)</f>
        <v>3000</v>
      </c>
      <c r="F8" s="449">
        <f t="shared" si="0"/>
        <v>0</v>
      </c>
      <c r="G8" s="449">
        <f t="shared" si="0"/>
        <v>0</v>
      </c>
      <c r="H8" s="449">
        <f t="shared" si="0"/>
        <v>0</v>
      </c>
      <c r="I8" s="449">
        <f>SUM(I9:I15)</f>
        <v>0</v>
      </c>
      <c r="J8" s="449">
        <f t="shared" si="0"/>
        <v>0</v>
      </c>
      <c r="K8" s="449">
        <f t="shared" si="0"/>
        <v>0</v>
      </c>
      <c r="L8" s="449">
        <f t="shared" si="0"/>
        <v>0</v>
      </c>
      <c r="M8" s="449">
        <f t="shared" si="0"/>
        <v>0</v>
      </c>
      <c r="N8" s="449">
        <f t="shared" si="0"/>
        <v>10000</v>
      </c>
      <c r="O8" s="449">
        <f t="shared" si="0"/>
        <v>0</v>
      </c>
      <c r="P8" s="450">
        <f t="shared" si="0"/>
        <v>0</v>
      </c>
      <c r="Q8" s="448">
        <f t="shared" si="0"/>
        <v>26294.95679012346</v>
      </c>
      <c r="R8" s="449">
        <f t="shared" si="0"/>
        <v>2294.9567901234586</v>
      </c>
      <c r="S8" s="449">
        <f t="shared" si="0"/>
        <v>2294.9567901234586</v>
      </c>
      <c r="T8" s="449">
        <f t="shared" si="0"/>
        <v>2294.9567901234586</v>
      </c>
      <c r="U8" s="449">
        <f t="shared" si="0"/>
        <v>2294.9567901234586</v>
      </c>
      <c r="V8" s="449">
        <f t="shared" si="0"/>
        <v>2294.9567901234586</v>
      </c>
      <c r="W8" s="449">
        <f t="shared" si="0"/>
        <v>2294.9567901234586</v>
      </c>
      <c r="X8" s="449">
        <f t="shared" si="0"/>
        <v>2294.9567901234586</v>
      </c>
      <c r="Y8" s="449">
        <f t="shared" si="0"/>
        <v>2294.9567901234586</v>
      </c>
      <c r="Z8" s="449">
        <f t="shared" si="0"/>
        <v>2294.9567901234586</v>
      </c>
      <c r="AA8" s="449">
        <f t="shared" si="0"/>
        <v>2294.9567901234586</v>
      </c>
      <c r="AB8" s="450">
        <f t="shared" si="0"/>
        <v>2294.9567901234586</v>
      </c>
      <c r="AC8" s="448">
        <f t="shared" si="0"/>
        <v>39589.91358024691</v>
      </c>
      <c r="AD8" s="449">
        <f t="shared" si="0"/>
        <v>4589.913580246914</v>
      </c>
      <c r="AE8" s="449">
        <f t="shared" si="0"/>
        <v>4589.913580246914</v>
      </c>
      <c r="AF8" s="449">
        <f t="shared" si="0"/>
        <v>4589.913580246914</v>
      </c>
      <c r="AG8" s="449">
        <f t="shared" si="0"/>
        <v>4589.913580246914</v>
      </c>
      <c r="AH8" s="449">
        <f t="shared" si="0"/>
        <v>4589.913580246914</v>
      </c>
      <c r="AI8" s="449">
        <f t="shared" si="0"/>
        <v>4589.913580246914</v>
      </c>
      <c r="AJ8" s="449">
        <f t="shared" si="0"/>
        <v>4589.913580246914</v>
      </c>
      <c r="AK8" s="449">
        <f t="shared" si="0"/>
        <v>4589.913580246914</v>
      </c>
      <c r="AL8" s="449">
        <f t="shared" si="0"/>
        <v>4589.913580246914</v>
      </c>
      <c r="AM8" s="449">
        <f t="shared" si="0"/>
        <v>4589.913580246914</v>
      </c>
      <c r="AN8" s="450">
        <f t="shared" si="0"/>
        <v>4589.913580246914</v>
      </c>
      <c r="AO8" s="448">
        <f t="shared" si="0"/>
        <v>50589.91358024691</v>
      </c>
      <c r="AP8" s="449">
        <f t="shared" si="0"/>
        <v>4589.913580246914</v>
      </c>
      <c r="AQ8" s="449">
        <f t="shared" si="0"/>
        <v>4589.913580246914</v>
      </c>
      <c r="AR8" s="449">
        <f t="shared" si="0"/>
        <v>4589.913580246914</v>
      </c>
      <c r="AS8" s="449">
        <f t="shared" si="0"/>
        <v>4589.913580246914</v>
      </c>
      <c r="AT8" s="449">
        <f t="shared" si="0"/>
        <v>4589.913580246914</v>
      </c>
      <c r="AU8" s="449">
        <f t="shared" si="0"/>
        <v>4589.913580246914</v>
      </c>
      <c r="AV8" s="449">
        <f t="shared" si="0"/>
        <v>4589.913580246914</v>
      </c>
      <c r="AW8" s="449">
        <f t="shared" si="0"/>
        <v>4589.913580246914</v>
      </c>
      <c r="AX8" s="449">
        <f t="shared" si="0"/>
        <v>4589.913580246914</v>
      </c>
      <c r="AY8" s="449">
        <f t="shared" si="0"/>
        <v>4589.913580246914</v>
      </c>
      <c r="AZ8" s="450">
        <f>SUM(AZ9:AZ15)</f>
        <v>4589.913580246914</v>
      </c>
      <c r="BA8" s="83">
        <f t="shared" si="0"/>
        <v>51589.91358024691</v>
      </c>
      <c r="BB8" s="84">
        <f t="shared" si="0"/>
        <v>4589.913580246914</v>
      </c>
      <c r="BC8" s="84">
        <f t="shared" si="0"/>
        <v>4589.913580246914</v>
      </c>
      <c r="BD8" s="84">
        <f t="shared" si="0"/>
        <v>4589.913580246914</v>
      </c>
      <c r="BE8" s="84">
        <f>SUM(BE9:BE15)</f>
        <v>4589.913580246914</v>
      </c>
      <c r="BF8" s="84">
        <f t="shared" si="0"/>
        <v>4589.913580246914</v>
      </c>
      <c r="BG8" s="84">
        <f t="shared" si="0"/>
        <v>4589.913580246914</v>
      </c>
      <c r="BH8" s="84">
        <f t="shared" si="0"/>
        <v>4589.913580246914</v>
      </c>
      <c r="BI8" s="84">
        <f t="shared" si="0"/>
        <v>4589.913580246914</v>
      </c>
      <c r="BJ8" s="84">
        <f>SUM(BJ9:BJ15)</f>
        <v>4589.913580246914</v>
      </c>
      <c r="BK8" s="84">
        <f t="shared" si="0"/>
        <v>4589.913580246914</v>
      </c>
      <c r="BL8" s="85">
        <f t="shared" si="0"/>
        <v>4589.913580246914</v>
      </c>
    </row>
    <row r="9" spans="1:64" ht="15.75">
      <c r="A9" s="82"/>
      <c r="B9" s="825" t="s">
        <v>289</v>
      </c>
      <c r="C9" s="373"/>
      <c r="D9" s="272">
        <v>88205</v>
      </c>
      <c r="E9" s="209"/>
      <c r="F9" s="88"/>
      <c r="G9" s="207"/>
      <c r="H9" s="88"/>
      <c r="I9" s="207"/>
      <c r="J9" s="207"/>
      <c r="K9" s="207"/>
      <c r="L9" s="207"/>
      <c r="M9" s="207"/>
      <c r="N9" s="207">
        <v>10000</v>
      </c>
      <c r="O9" s="207"/>
      <c r="P9" s="208"/>
      <c r="Q9" s="209">
        <v>20000</v>
      </c>
      <c r="R9" s="88"/>
      <c r="S9" s="88"/>
      <c r="T9" s="88"/>
      <c r="U9" s="88"/>
      <c r="V9" s="88"/>
      <c r="W9" s="207"/>
      <c r="X9" s="207"/>
      <c r="Y9" s="207"/>
      <c r="Z9" s="207"/>
      <c r="AA9" s="207"/>
      <c r="AB9" s="208"/>
      <c r="AC9" s="209">
        <v>30000</v>
      </c>
      <c r="AD9" s="381"/>
      <c r="AE9" s="381"/>
      <c r="AF9" s="381"/>
      <c r="AG9" s="381"/>
      <c r="AH9" s="381"/>
      <c r="AI9" s="381"/>
      <c r="AJ9" s="381"/>
      <c r="AK9" s="381"/>
      <c r="AL9" s="381"/>
      <c r="AM9" s="381"/>
      <c r="AN9" s="382"/>
      <c r="AO9" s="209">
        <v>40000</v>
      </c>
      <c r="AP9" s="381"/>
      <c r="AQ9" s="381"/>
      <c r="AR9" s="381"/>
      <c r="AS9" s="381"/>
      <c r="AT9" s="381"/>
      <c r="AU9" s="381"/>
      <c r="AV9" s="381"/>
      <c r="AW9" s="381"/>
      <c r="AX9" s="381"/>
      <c r="AY9" s="381"/>
      <c r="AZ9" s="382"/>
      <c r="BA9" s="209">
        <v>40000</v>
      </c>
      <c r="BB9" s="381"/>
      <c r="BC9" s="381"/>
      <c r="BD9" s="381"/>
      <c r="BE9" s="381"/>
      <c r="BF9" s="381"/>
      <c r="BG9" s="381"/>
      <c r="BH9" s="381"/>
      <c r="BI9" s="381"/>
      <c r="BJ9" s="381"/>
      <c r="BK9" s="381"/>
      <c r="BL9" s="382"/>
    </row>
    <row r="10" spans="1:64" ht="15.75">
      <c r="A10" s="82"/>
      <c r="B10" s="634" t="s">
        <v>284</v>
      </c>
      <c r="C10" s="373"/>
      <c r="D10" s="272"/>
      <c r="E10" s="209"/>
      <c r="F10" s="88"/>
      <c r="G10" s="88"/>
      <c r="H10" s="88"/>
      <c r="I10" s="207"/>
      <c r="J10" s="207"/>
      <c r="K10" s="207"/>
      <c r="L10" s="207"/>
      <c r="M10" s="207"/>
      <c r="N10" s="207"/>
      <c r="O10" s="207"/>
      <c r="P10" s="208"/>
      <c r="Q10" s="209"/>
      <c r="R10" s="88"/>
      <c r="S10" s="88"/>
      <c r="T10" s="88"/>
      <c r="U10" s="88"/>
      <c r="V10" s="88"/>
      <c r="W10" s="207"/>
      <c r="X10" s="207"/>
      <c r="Y10" s="207"/>
      <c r="Z10" s="207"/>
      <c r="AA10" s="207"/>
      <c r="AB10" s="208"/>
      <c r="AC10" s="209"/>
      <c r="AD10" s="88"/>
      <c r="AE10" s="88"/>
      <c r="AF10" s="88"/>
      <c r="AG10" s="88"/>
      <c r="AH10" s="88"/>
      <c r="AI10" s="207"/>
      <c r="AJ10" s="207"/>
      <c r="AK10" s="207"/>
      <c r="AL10" s="207"/>
      <c r="AM10" s="207"/>
      <c r="AN10" s="208"/>
      <c r="AO10" s="87"/>
      <c r="AP10" s="88"/>
      <c r="AQ10" s="88"/>
      <c r="AR10" s="88"/>
      <c r="AS10" s="88"/>
      <c r="AT10" s="88"/>
      <c r="AU10" s="207"/>
      <c r="AV10" s="207"/>
      <c r="AW10" s="207"/>
      <c r="AX10" s="207"/>
      <c r="AY10" s="207"/>
      <c r="AZ10" s="208"/>
      <c r="BA10" s="209"/>
      <c r="BB10" s="207"/>
      <c r="BC10" s="207"/>
      <c r="BD10" s="207"/>
      <c r="BE10" s="207"/>
      <c r="BF10" s="207"/>
      <c r="BG10" s="207"/>
      <c r="BH10" s="207"/>
      <c r="BI10" s="207"/>
      <c r="BJ10" s="207"/>
      <c r="BK10" s="207"/>
      <c r="BL10" s="208"/>
    </row>
    <row r="11" spans="1:64" ht="15.75">
      <c r="A11" s="82"/>
      <c r="B11" s="273" t="s">
        <v>288</v>
      </c>
      <c r="C11" s="373"/>
      <c r="D11" s="272"/>
      <c r="E11" s="846"/>
      <c r="F11" s="88"/>
      <c r="G11" s="88"/>
      <c r="H11" s="88"/>
      <c r="I11" s="88"/>
      <c r="J11" s="88"/>
      <c r="K11" s="207"/>
      <c r="L11" s="207"/>
      <c r="M11" s="635"/>
      <c r="N11" s="207"/>
      <c r="O11" s="207"/>
      <c r="P11" s="208"/>
      <c r="Q11" s="87"/>
      <c r="R11" s="88"/>
      <c r="S11" s="88"/>
      <c r="T11" s="88"/>
      <c r="U11" s="88"/>
      <c r="V11" s="88"/>
      <c r="W11" s="207"/>
      <c r="X11" s="207"/>
      <c r="Y11" s="207"/>
      <c r="Z11" s="207"/>
      <c r="AA11" s="207"/>
      <c r="AB11" s="208"/>
      <c r="AC11" s="87"/>
      <c r="AD11" s="88"/>
      <c r="AE11" s="88"/>
      <c r="AF11" s="88"/>
      <c r="AG11" s="88"/>
      <c r="AH11" s="88"/>
      <c r="AI11" s="207"/>
      <c r="AJ11" s="207"/>
      <c r="AK11" s="207"/>
      <c r="AL11" s="207"/>
      <c r="AM11" s="207"/>
      <c r="AN11" s="208"/>
      <c r="AO11" s="87"/>
      <c r="AP11" s="88"/>
      <c r="AQ11" s="88"/>
      <c r="AR11" s="88"/>
      <c r="AS11" s="88"/>
      <c r="AT11" s="88"/>
      <c r="AU11" s="207"/>
      <c r="AV11" s="207"/>
      <c r="AW11" s="207"/>
      <c r="AX11" s="207"/>
      <c r="AY11" s="207"/>
      <c r="AZ11" s="208"/>
      <c r="BA11" s="209"/>
      <c r="BB11" s="207"/>
      <c r="BC11" s="207"/>
      <c r="BD11" s="207"/>
      <c r="BE11" s="207"/>
      <c r="BF11" s="207"/>
      <c r="BG11" s="207"/>
      <c r="BH11" s="207"/>
      <c r="BI11" s="207"/>
      <c r="BJ11" s="207"/>
      <c r="BK11" s="207"/>
      <c r="BL11" s="208"/>
    </row>
    <row r="12" spans="1:64" ht="15.75">
      <c r="A12" s="82"/>
      <c r="B12" s="273" t="s">
        <v>292</v>
      </c>
      <c r="C12" s="374"/>
      <c r="D12" s="209"/>
      <c r="E12" s="87"/>
      <c r="F12" s="88"/>
      <c r="G12" s="88"/>
      <c r="H12" s="88"/>
      <c r="I12" s="88"/>
      <c r="J12" s="88"/>
      <c r="K12" s="88"/>
      <c r="L12" s="88"/>
      <c r="M12" s="635"/>
      <c r="N12" s="91"/>
      <c r="O12" s="88"/>
      <c r="P12" s="89"/>
      <c r="Q12" s="87"/>
      <c r="R12" s="88"/>
      <c r="S12" s="88"/>
      <c r="T12" s="88"/>
      <c r="U12" s="88"/>
      <c r="V12" s="88"/>
      <c r="W12" s="88"/>
      <c r="X12" s="88"/>
      <c r="Y12" s="88"/>
      <c r="Z12" s="91"/>
      <c r="AA12" s="88"/>
      <c r="AB12" s="89"/>
      <c r="AC12" s="209"/>
      <c r="AD12" s="207"/>
      <c r="AE12" s="207"/>
      <c r="AF12" s="207"/>
      <c r="AG12" s="207"/>
      <c r="AH12" s="207"/>
      <c r="AI12" s="207"/>
      <c r="AJ12" s="207"/>
      <c r="AK12" s="207"/>
      <c r="AL12" s="207"/>
      <c r="AM12" s="207"/>
      <c r="AN12" s="208"/>
      <c r="AO12" s="209"/>
      <c r="AP12" s="207"/>
      <c r="AQ12" s="207"/>
      <c r="AR12" s="207"/>
      <c r="AS12" s="88"/>
      <c r="AT12" s="88"/>
      <c r="AU12" s="88"/>
      <c r="AV12" s="88"/>
      <c r="AW12" s="88"/>
      <c r="AX12" s="91"/>
      <c r="AY12" s="88"/>
      <c r="AZ12" s="89"/>
      <c r="BA12" s="209"/>
      <c r="BB12" s="207"/>
      <c r="BC12" s="207"/>
      <c r="BD12" s="207"/>
      <c r="BE12" s="207"/>
      <c r="BF12" s="207"/>
      <c r="BG12" s="207"/>
      <c r="BH12" s="207"/>
      <c r="BI12" s="207"/>
      <c r="BJ12" s="207"/>
      <c r="BK12" s="207"/>
      <c r="BL12" s="208"/>
    </row>
    <row r="13" spans="1:64" ht="16.05" customHeight="1">
      <c r="A13" s="82"/>
      <c r="B13" s="273" t="s">
        <v>297</v>
      </c>
      <c r="C13" s="373"/>
      <c r="D13" s="92"/>
      <c r="E13" s="846">
        <v>3000</v>
      </c>
      <c r="F13" s="91"/>
      <c r="G13" s="91"/>
      <c r="H13" s="88"/>
      <c r="I13" s="91"/>
      <c r="J13" s="91"/>
      <c r="K13" s="91"/>
      <c r="L13" s="91"/>
      <c r="M13" s="635"/>
      <c r="N13" s="207"/>
      <c r="O13" s="91"/>
      <c r="P13" s="92"/>
      <c r="Q13" s="209">
        <v>4000</v>
      </c>
      <c r="R13" s="91"/>
      <c r="S13" s="91"/>
      <c r="T13" s="630"/>
      <c r="U13" s="91"/>
      <c r="V13" s="91"/>
      <c r="W13" s="91"/>
      <c r="X13" s="91"/>
      <c r="Y13" s="91"/>
      <c r="Z13" s="207"/>
      <c r="AA13" s="91"/>
      <c r="AB13" s="92"/>
      <c r="AC13" s="209">
        <v>5000</v>
      </c>
      <c r="AD13" s="207"/>
      <c r="AE13" s="207"/>
      <c r="AF13" s="207"/>
      <c r="AG13" s="207"/>
      <c r="AH13" s="207"/>
      <c r="AI13" s="207"/>
      <c r="AJ13" s="207"/>
      <c r="AK13" s="207"/>
      <c r="AL13" s="207"/>
      <c r="AM13" s="207"/>
      <c r="AN13" s="208"/>
      <c r="AO13" s="209">
        <v>6000</v>
      </c>
      <c r="AP13" s="207"/>
      <c r="AQ13" s="207"/>
      <c r="AR13" s="207"/>
      <c r="AS13" s="91"/>
      <c r="AT13" s="91"/>
      <c r="AU13" s="91"/>
      <c r="AV13" s="91"/>
      <c r="AW13" s="91"/>
      <c r="AX13" s="207"/>
      <c r="AY13" s="91"/>
      <c r="AZ13" s="92"/>
      <c r="BA13" s="209">
        <v>7000</v>
      </c>
      <c r="BB13" s="91"/>
      <c r="BC13" s="91"/>
      <c r="BD13" s="91"/>
      <c r="BE13" s="91"/>
      <c r="BF13" s="207"/>
      <c r="BG13" s="207"/>
      <c r="BH13" s="207"/>
      <c r="BI13" s="207"/>
      <c r="BJ13" s="207"/>
      <c r="BK13" s="91"/>
      <c r="BL13" s="92"/>
    </row>
    <row r="14" spans="1:66" s="807" customFormat="1" ht="16.05" customHeight="1">
      <c r="A14" s="831"/>
      <c r="B14" s="847" t="s">
        <v>313</v>
      </c>
      <c r="C14" s="848"/>
      <c r="D14" s="816"/>
      <c r="E14" s="954">
        <f>+' HR Breakdown'!C38-'Income Statement'!E43</f>
        <v>0</v>
      </c>
      <c r="F14" s="955">
        <f>+' HR Breakdown'!D38-'Income Statement'!F43</f>
        <v>0</v>
      </c>
      <c r="G14" s="955">
        <f>+' HR Breakdown'!E38-'Income Statement'!G43</f>
        <v>0</v>
      </c>
      <c r="H14" s="955">
        <f>+' HR Breakdown'!F38-'Income Statement'!H43</f>
        <v>0</v>
      </c>
      <c r="I14" s="955">
        <f>+' HR Breakdown'!G38-'Income Statement'!I43</f>
        <v>0</v>
      </c>
      <c r="J14" s="955">
        <f>+' HR Breakdown'!H38-'Income Statement'!J43</f>
        <v>0</v>
      </c>
      <c r="K14" s="955">
        <f>+' HR Breakdown'!I38-'Income Statement'!K43</f>
        <v>0</v>
      </c>
      <c r="L14" s="955">
        <f>+' HR Breakdown'!J38-'Income Statement'!L43</f>
        <v>0</v>
      </c>
      <c r="M14" s="956">
        <f>+' HR Breakdown'!K38-'Income Statement'!M43</f>
        <v>0</v>
      </c>
      <c r="N14" s="955">
        <f>+' HR Breakdown'!L38-'Income Statement'!N43</f>
        <v>0</v>
      </c>
      <c r="O14" s="955">
        <f>+' HR Breakdown'!M38-'Income Statement'!O43</f>
        <v>0</v>
      </c>
      <c r="P14" s="957">
        <f>+' HR Breakdown'!N38-'Income Statement'!P43</f>
        <v>0</v>
      </c>
      <c r="Q14" s="954">
        <f>+' HR Breakdown'!O38-'Income Statement'!Q43</f>
        <v>2294.9567901234586</v>
      </c>
      <c r="R14" s="955">
        <f>+' HR Breakdown'!P38-'Income Statement'!R43</f>
        <v>2294.9567901234586</v>
      </c>
      <c r="S14" s="955">
        <f>+' HR Breakdown'!Q38-'Income Statement'!S43</f>
        <v>2294.9567901234586</v>
      </c>
      <c r="T14" s="955">
        <f>+' HR Breakdown'!R38-'Income Statement'!T43</f>
        <v>2294.9567901234586</v>
      </c>
      <c r="U14" s="955">
        <f>+' HR Breakdown'!S38-'Income Statement'!U43</f>
        <v>2294.9567901234586</v>
      </c>
      <c r="V14" s="955">
        <f>+' HR Breakdown'!T38-'Income Statement'!V43</f>
        <v>2294.9567901234586</v>
      </c>
      <c r="W14" s="955">
        <f>+' HR Breakdown'!U38-'Income Statement'!W43</f>
        <v>2294.9567901234586</v>
      </c>
      <c r="X14" s="955">
        <f>+' HR Breakdown'!V38-'Income Statement'!X43</f>
        <v>2294.9567901234586</v>
      </c>
      <c r="Y14" s="955">
        <f>+' HR Breakdown'!W38-'Income Statement'!Y43</f>
        <v>2294.9567901234586</v>
      </c>
      <c r="Z14" s="955">
        <f>+' HR Breakdown'!X38-'Income Statement'!Z43</f>
        <v>2294.9567901234586</v>
      </c>
      <c r="AA14" s="955">
        <f>+' HR Breakdown'!Y38-'Income Statement'!AA43</f>
        <v>2294.9567901234586</v>
      </c>
      <c r="AB14" s="957">
        <f>+' HR Breakdown'!Z38-'Income Statement'!AB43</f>
        <v>2294.9567901234586</v>
      </c>
      <c r="AC14" s="955">
        <f>+' HR Breakdown'!AA38-'Income Statement'!AC43</f>
        <v>4589.913580246914</v>
      </c>
      <c r="AD14" s="955">
        <f>+' HR Breakdown'!AB38-'Income Statement'!AD43</f>
        <v>4589.913580246914</v>
      </c>
      <c r="AE14" s="955">
        <f>+' HR Breakdown'!AC38-'Income Statement'!AE43</f>
        <v>4589.913580246914</v>
      </c>
      <c r="AF14" s="955">
        <f>+' HR Breakdown'!AD38-'Income Statement'!AF43</f>
        <v>4589.913580246914</v>
      </c>
      <c r="AG14" s="955">
        <f>+' HR Breakdown'!AE38-'Income Statement'!AG43</f>
        <v>4589.913580246914</v>
      </c>
      <c r="AH14" s="955">
        <f>+' HR Breakdown'!AF38-'Income Statement'!AH43</f>
        <v>4589.913580246914</v>
      </c>
      <c r="AI14" s="955">
        <f>+' HR Breakdown'!AG38-'Income Statement'!AI43</f>
        <v>4589.913580246914</v>
      </c>
      <c r="AJ14" s="955">
        <f>+' HR Breakdown'!AH38-'Income Statement'!AJ43</f>
        <v>4589.913580246914</v>
      </c>
      <c r="AK14" s="955">
        <f>+' HR Breakdown'!AI38-'Income Statement'!AK43</f>
        <v>4589.913580246914</v>
      </c>
      <c r="AL14" s="955">
        <f>+' HR Breakdown'!AJ38-'Income Statement'!AL43</f>
        <v>4589.913580246914</v>
      </c>
      <c r="AM14" s="955">
        <f>+' HR Breakdown'!AK38-'Income Statement'!AM43</f>
        <v>4589.913580246914</v>
      </c>
      <c r="AN14" s="957">
        <f>+' HR Breakdown'!AL38-'Income Statement'!AN43</f>
        <v>4589.913580246914</v>
      </c>
      <c r="AO14" s="954">
        <f>+' HR Breakdown'!AM38-'Income Statement'!AO43</f>
        <v>4589.913580246914</v>
      </c>
      <c r="AP14" s="955">
        <f>+' HR Breakdown'!AN38-'Income Statement'!AP43</f>
        <v>4589.913580246914</v>
      </c>
      <c r="AQ14" s="955">
        <f>+' HR Breakdown'!AO38-'Income Statement'!AQ43</f>
        <v>4589.913580246914</v>
      </c>
      <c r="AR14" s="955">
        <f>+' HR Breakdown'!AP38-'Income Statement'!AR43</f>
        <v>4589.913580246914</v>
      </c>
      <c r="AS14" s="955">
        <f>+' HR Breakdown'!AQ38-'Income Statement'!AS43</f>
        <v>4589.913580246914</v>
      </c>
      <c r="AT14" s="955">
        <f>+' HR Breakdown'!AR38-'Income Statement'!AT43</f>
        <v>4589.913580246914</v>
      </c>
      <c r="AU14" s="955">
        <f>+' HR Breakdown'!AS38-'Income Statement'!AU43</f>
        <v>4589.913580246914</v>
      </c>
      <c r="AV14" s="955">
        <f>+' HR Breakdown'!AT38-'Income Statement'!AV43</f>
        <v>4589.913580246914</v>
      </c>
      <c r="AW14" s="955">
        <f>+' HR Breakdown'!AU38-'Income Statement'!AW43</f>
        <v>4589.913580246914</v>
      </c>
      <c r="AX14" s="955">
        <f>+' HR Breakdown'!AV38-'Income Statement'!AX43</f>
        <v>4589.913580246914</v>
      </c>
      <c r="AY14" s="809">
        <f>+' HR Breakdown'!AW38-'Income Statement'!AY43</f>
        <v>4589.913580246914</v>
      </c>
      <c r="AZ14" s="812">
        <f>+' HR Breakdown'!AX38-'Income Statement'!AZ43</f>
        <v>4589.913580246914</v>
      </c>
      <c r="BA14" s="954">
        <f>+' HR Breakdown'!AY38-'Income Statement'!BA43</f>
        <v>4589.913580246914</v>
      </c>
      <c r="BB14" s="955">
        <f>+' HR Breakdown'!AZ38-'Income Statement'!BB43</f>
        <v>4589.913580246914</v>
      </c>
      <c r="BC14" s="955">
        <f>+' HR Breakdown'!BA38-'Income Statement'!BC43</f>
        <v>4589.913580246914</v>
      </c>
      <c r="BD14" s="955">
        <f>+' HR Breakdown'!BB38-'Income Statement'!BD43</f>
        <v>4589.913580246914</v>
      </c>
      <c r="BE14" s="955">
        <f>+' HR Breakdown'!BC38-'Income Statement'!BE43</f>
        <v>4589.913580246914</v>
      </c>
      <c r="BF14" s="809">
        <f>+' HR Breakdown'!BD38-'Income Statement'!BF43</f>
        <v>4589.913580246914</v>
      </c>
      <c r="BG14" s="809">
        <f>+' HR Breakdown'!BE38-'Income Statement'!BG43</f>
        <v>4589.913580246914</v>
      </c>
      <c r="BH14" s="809">
        <f>+' HR Breakdown'!BF38-'Income Statement'!BH43</f>
        <v>4589.913580246914</v>
      </c>
      <c r="BI14" s="809">
        <f>+' HR Breakdown'!BG38-'Income Statement'!BI43</f>
        <v>4589.913580246914</v>
      </c>
      <c r="BJ14" s="809">
        <f>+' HR Breakdown'!BH38-'Income Statement'!BJ43</f>
        <v>4589.913580246914</v>
      </c>
      <c r="BK14" s="955">
        <f>+' HR Breakdown'!BI38-'Income Statement'!BK43</f>
        <v>4589.913580246914</v>
      </c>
      <c r="BL14" s="957">
        <f>+' HR Breakdown'!BJ38-'Income Statement'!BL43</f>
        <v>4589.913580246914</v>
      </c>
      <c r="BM14" s="958"/>
      <c r="BN14" s="958"/>
    </row>
    <row r="15" spans="1:64" s="8" customFormat="1" ht="16.2" thickBot="1">
      <c r="A15" s="82"/>
      <c r="B15" s="631"/>
      <c r="C15" s="375"/>
      <c r="D15" s="452"/>
      <c r="E15" s="453"/>
      <c r="F15" s="451"/>
      <c r="G15" s="451"/>
      <c r="H15" s="451"/>
      <c r="I15" s="451"/>
      <c r="J15" s="451"/>
      <c r="K15" s="451"/>
      <c r="L15" s="451"/>
      <c r="M15" s="451"/>
      <c r="N15" s="451"/>
      <c r="O15" s="451"/>
      <c r="P15" s="452"/>
      <c r="Q15" s="453"/>
      <c r="R15" s="451"/>
      <c r="S15" s="451"/>
      <c r="T15" s="451"/>
      <c r="U15" s="451"/>
      <c r="V15" s="451"/>
      <c r="W15" s="451"/>
      <c r="X15" s="451"/>
      <c r="Y15" s="451"/>
      <c r="Z15" s="632"/>
      <c r="AA15" s="451"/>
      <c r="AB15" s="452"/>
      <c r="AC15" s="453"/>
      <c r="AD15" s="451"/>
      <c r="AE15" s="451"/>
      <c r="AF15" s="451"/>
      <c r="AG15" s="451"/>
      <c r="AH15" s="451"/>
      <c r="AI15" s="451"/>
      <c r="AJ15" s="451"/>
      <c r="AK15" s="451"/>
      <c r="AL15" s="451"/>
      <c r="AM15" s="451"/>
      <c r="AN15" s="452"/>
      <c r="AO15" s="453"/>
      <c r="AP15" s="451"/>
      <c r="AQ15" s="451"/>
      <c r="AR15" s="451"/>
      <c r="AS15" s="454"/>
      <c r="AT15" s="454"/>
      <c r="AU15" s="454"/>
      <c r="AV15" s="454"/>
      <c r="AW15" s="454"/>
      <c r="AX15" s="454"/>
      <c r="AY15" s="454"/>
      <c r="AZ15" s="455"/>
      <c r="BA15" s="95"/>
      <c r="BB15" s="96"/>
      <c r="BC15" s="96"/>
      <c r="BD15" s="96"/>
      <c r="BE15" s="96"/>
      <c r="BF15" s="636"/>
      <c r="BG15" s="636"/>
      <c r="BH15" s="636"/>
      <c r="BI15" s="636"/>
      <c r="BJ15" s="636"/>
      <c r="BK15" s="96"/>
      <c r="BL15" s="97"/>
    </row>
    <row r="16" spans="1:64" ht="15.75">
      <c r="A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row>
    <row r="17" spans="1:64" ht="15.75">
      <c r="A17" s="82"/>
      <c r="B17" s="82"/>
      <c r="C17" s="369"/>
      <c r="D17" s="82"/>
      <c r="E17" s="830"/>
      <c r="F17" s="82"/>
      <c r="G17" s="829"/>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row>
    <row r="18" spans="1:64" ht="16.2" thickBot="1">
      <c r="A18" s="82"/>
      <c r="B18" s="82"/>
      <c r="C18" s="369"/>
      <c r="D18" s="829"/>
      <c r="E18" s="829"/>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row>
    <row r="19" spans="1:64" ht="48" customHeight="1">
      <c r="A19" s="98"/>
      <c r="B19" s="1606" t="s">
        <v>51</v>
      </c>
      <c r="C19" s="1603" t="s">
        <v>203</v>
      </c>
      <c r="D19" s="1599">
        <f>+D5</f>
        <v>2019</v>
      </c>
      <c r="E19" s="1597">
        <f>1+D19</f>
        <v>2020</v>
      </c>
      <c r="F19" s="1598"/>
      <c r="G19" s="1598"/>
      <c r="H19" s="1598"/>
      <c r="I19" s="1598"/>
      <c r="J19" s="1598"/>
      <c r="K19" s="1598"/>
      <c r="L19" s="1598"/>
      <c r="M19" s="1598"/>
      <c r="N19" s="1598"/>
      <c r="O19" s="1598"/>
      <c r="P19" s="1599"/>
      <c r="Q19" s="1597">
        <f>1+E19</f>
        <v>2021</v>
      </c>
      <c r="R19" s="1598"/>
      <c r="S19" s="1598"/>
      <c r="T19" s="1598"/>
      <c r="U19" s="1598"/>
      <c r="V19" s="1598"/>
      <c r="W19" s="1598"/>
      <c r="X19" s="1598"/>
      <c r="Y19" s="1598"/>
      <c r="Z19" s="1598"/>
      <c r="AA19" s="1598"/>
      <c r="AB19" s="1599"/>
      <c r="AC19" s="1597">
        <f>1+Q19</f>
        <v>2022</v>
      </c>
      <c r="AD19" s="1598"/>
      <c r="AE19" s="1598"/>
      <c r="AF19" s="1598"/>
      <c r="AG19" s="1598"/>
      <c r="AH19" s="1598"/>
      <c r="AI19" s="1598"/>
      <c r="AJ19" s="1598"/>
      <c r="AK19" s="1598"/>
      <c r="AL19" s="1598"/>
      <c r="AM19" s="1598"/>
      <c r="AN19" s="1599"/>
      <c r="AO19" s="1597">
        <f>1+AC19</f>
        <v>2023</v>
      </c>
      <c r="AP19" s="1598"/>
      <c r="AQ19" s="1598"/>
      <c r="AR19" s="1598"/>
      <c r="AS19" s="1598"/>
      <c r="AT19" s="1598"/>
      <c r="AU19" s="1598"/>
      <c r="AV19" s="1598"/>
      <c r="AW19" s="1598"/>
      <c r="AX19" s="1598"/>
      <c r="AY19" s="1598"/>
      <c r="AZ19" s="1599"/>
      <c r="BA19" s="1597">
        <f>1+AO19</f>
        <v>2024</v>
      </c>
      <c r="BB19" s="1598"/>
      <c r="BC19" s="1598"/>
      <c r="BD19" s="1598"/>
      <c r="BE19" s="1598"/>
      <c r="BF19" s="1598"/>
      <c r="BG19" s="1598"/>
      <c r="BH19" s="1598"/>
      <c r="BI19" s="1598"/>
      <c r="BJ19" s="1598"/>
      <c r="BK19" s="1598"/>
      <c r="BL19" s="1599"/>
    </row>
    <row r="20" spans="1:64" ht="16.95" customHeight="1" thickBot="1">
      <c r="A20" s="98"/>
      <c r="B20" s="1607"/>
      <c r="C20" s="1604"/>
      <c r="D20" s="1602"/>
      <c r="E20" s="1600"/>
      <c r="F20" s="1601"/>
      <c r="G20" s="1601"/>
      <c r="H20" s="1601"/>
      <c r="I20" s="1601"/>
      <c r="J20" s="1601"/>
      <c r="K20" s="1601"/>
      <c r="L20" s="1601"/>
      <c r="M20" s="1601"/>
      <c r="N20" s="1601"/>
      <c r="O20" s="1601"/>
      <c r="P20" s="1602"/>
      <c r="Q20" s="1600"/>
      <c r="R20" s="1601"/>
      <c r="S20" s="1601"/>
      <c r="T20" s="1601"/>
      <c r="U20" s="1601"/>
      <c r="V20" s="1601"/>
      <c r="W20" s="1601"/>
      <c r="X20" s="1601"/>
      <c r="Y20" s="1601"/>
      <c r="Z20" s="1601"/>
      <c r="AA20" s="1601"/>
      <c r="AB20" s="1602"/>
      <c r="AC20" s="1600"/>
      <c r="AD20" s="1601"/>
      <c r="AE20" s="1601"/>
      <c r="AF20" s="1601"/>
      <c r="AG20" s="1601"/>
      <c r="AH20" s="1601"/>
      <c r="AI20" s="1601"/>
      <c r="AJ20" s="1601"/>
      <c r="AK20" s="1601"/>
      <c r="AL20" s="1601"/>
      <c r="AM20" s="1601"/>
      <c r="AN20" s="1602"/>
      <c r="AO20" s="1600"/>
      <c r="AP20" s="1601"/>
      <c r="AQ20" s="1601"/>
      <c r="AR20" s="1601"/>
      <c r="AS20" s="1601"/>
      <c r="AT20" s="1601"/>
      <c r="AU20" s="1601"/>
      <c r="AV20" s="1601"/>
      <c r="AW20" s="1601"/>
      <c r="AX20" s="1601"/>
      <c r="AY20" s="1601"/>
      <c r="AZ20" s="1602"/>
      <c r="BA20" s="1600"/>
      <c r="BB20" s="1601"/>
      <c r="BC20" s="1601"/>
      <c r="BD20" s="1601"/>
      <c r="BE20" s="1601"/>
      <c r="BF20" s="1601"/>
      <c r="BG20" s="1601"/>
      <c r="BH20" s="1601"/>
      <c r="BI20" s="1601"/>
      <c r="BJ20" s="1601"/>
      <c r="BK20" s="1601"/>
      <c r="BL20" s="1602"/>
    </row>
    <row r="21" spans="1:64" ht="21" customHeight="1" thickBot="1">
      <c r="A21" s="98"/>
      <c r="B21" s="1607"/>
      <c r="C21" s="1605"/>
      <c r="D21" s="260"/>
      <c r="E21" s="261" t="s">
        <v>187</v>
      </c>
      <c r="F21" s="259" t="s">
        <v>188</v>
      </c>
      <c r="G21" s="259" t="s">
        <v>189</v>
      </c>
      <c r="H21" s="259" t="s">
        <v>190</v>
      </c>
      <c r="I21" s="259" t="s">
        <v>8</v>
      </c>
      <c r="J21" s="259" t="s">
        <v>191</v>
      </c>
      <c r="K21" s="259" t="s">
        <v>192</v>
      </c>
      <c r="L21" s="259" t="s">
        <v>193</v>
      </c>
      <c r="M21" s="259" t="s">
        <v>194</v>
      </c>
      <c r="N21" s="259" t="s">
        <v>195</v>
      </c>
      <c r="O21" s="259" t="s">
        <v>196</v>
      </c>
      <c r="P21" s="260" t="s">
        <v>197</v>
      </c>
      <c r="Q21" s="261" t="s">
        <v>187</v>
      </c>
      <c r="R21" s="259" t="s">
        <v>188</v>
      </c>
      <c r="S21" s="259" t="s">
        <v>189</v>
      </c>
      <c r="T21" s="259" t="s">
        <v>190</v>
      </c>
      <c r="U21" s="259" t="s">
        <v>8</v>
      </c>
      <c r="V21" s="259" t="s">
        <v>191</v>
      </c>
      <c r="W21" s="259" t="s">
        <v>192</v>
      </c>
      <c r="X21" s="259" t="s">
        <v>193</v>
      </c>
      <c r="Y21" s="259" t="s">
        <v>194</v>
      </c>
      <c r="Z21" s="259" t="s">
        <v>195</v>
      </c>
      <c r="AA21" s="259" t="s">
        <v>196</v>
      </c>
      <c r="AB21" s="260" t="s">
        <v>197</v>
      </c>
      <c r="AC21" s="261" t="s">
        <v>187</v>
      </c>
      <c r="AD21" s="259" t="s">
        <v>188</v>
      </c>
      <c r="AE21" s="259" t="s">
        <v>189</v>
      </c>
      <c r="AF21" s="259" t="s">
        <v>190</v>
      </c>
      <c r="AG21" s="259" t="s">
        <v>8</v>
      </c>
      <c r="AH21" s="259" t="s">
        <v>191</v>
      </c>
      <c r="AI21" s="259" t="s">
        <v>192</v>
      </c>
      <c r="AJ21" s="259" t="s">
        <v>193</v>
      </c>
      <c r="AK21" s="259" t="s">
        <v>194</v>
      </c>
      <c r="AL21" s="259" t="s">
        <v>195</v>
      </c>
      <c r="AM21" s="259" t="s">
        <v>196</v>
      </c>
      <c r="AN21" s="260" t="s">
        <v>197</v>
      </c>
      <c r="AO21" s="261" t="s">
        <v>187</v>
      </c>
      <c r="AP21" s="259" t="s">
        <v>188</v>
      </c>
      <c r="AQ21" s="259" t="s">
        <v>189</v>
      </c>
      <c r="AR21" s="259" t="s">
        <v>190</v>
      </c>
      <c r="AS21" s="259" t="s">
        <v>8</v>
      </c>
      <c r="AT21" s="259" t="s">
        <v>191</v>
      </c>
      <c r="AU21" s="259" t="s">
        <v>192</v>
      </c>
      <c r="AV21" s="259" t="s">
        <v>193</v>
      </c>
      <c r="AW21" s="259" t="s">
        <v>194</v>
      </c>
      <c r="AX21" s="259" t="s">
        <v>195</v>
      </c>
      <c r="AY21" s="259" t="s">
        <v>196</v>
      </c>
      <c r="AZ21" s="260" t="s">
        <v>197</v>
      </c>
      <c r="BA21" s="261" t="s">
        <v>187</v>
      </c>
      <c r="BB21" s="259" t="s">
        <v>188</v>
      </c>
      <c r="BC21" s="259" t="s">
        <v>189</v>
      </c>
      <c r="BD21" s="259" t="s">
        <v>190</v>
      </c>
      <c r="BE21" s="259" t="s">
        <v>8</v>
      </c>
      <c r="BF21" s="259" t="s">
        <v>191</v>
      </c>
      <c r="BG21" s="259" t="s">
        <v>192</v>
      </c>
      <c r="BH21" s="259" t="s">
        <v>193</v>
      </c>
      <c r="BI21" s="259" t="s">
        <v>194</v>
      </c>
      <c r="BJ21" s="259" t="s">
        <v>195</v>
      </c>
      <c r="BK21" s="259" t="s">
        <v>196</v>
      </c>
      <c r="BL21" s="260" t="s">
        <v>197</v>
      </c>
    </row>
    <row r="22" spans="2:64" s="99" customFormat="1" ht="15.75">
      <c r="B22" s="100" t="str">
        <f aca="true" t="shared" si="1" ref="B22">+B8</f>
        <v>Tot. Capex</v>
      </c>
      <c r="C22" s="370"/>
      <c r="D22" s="85">
        <f aca="true" t="shared" si="2" ref="D22:BL22">SUM(D23:D29)</f>
        <v>17641</v>
      </c>
      <c r="E22" s="83">
        <f>SUM(E23:E29)</f>
        <v>1520.0833333333333</v>
      </c>
      <c r="F22" s="84">
        <f t="shared" si="2"/>
        <v>1520.0833333333333</v>
      </c>
      <c r="G22" s="84">
        <f t="shared" si="2"/>
        <v>1520.0833333333333</v>
      </c>
      <c r="H22" s="84">
        <f t="shared" si="2"/>
        <v>1520.0833333333333</v>
      </c>
      <c r="I22" s="84">
        <f t="shared" si="2"/>
        <v>1520.0833333333333</v>
      </c>
      <c r="J22" s="84">
        <f>SUM(J23:J29)</f>
        <v>1520.0833333333333</v>
      </c>
      <c r="K22" s="84">
        <f t="shared" si="2"/>
        <v>1520.0833333333333</v>
      </c>
      <c r="L22" s="84">
        <f t="shared" si="2"/>
        <v>1520.0833333333333</v>
      </c>
      <c r="M22" s="84">
        <f t="shared" si="2"/>
        <v>1520.0833333333333</v>
      </c>
      <c r="N22" s="84">
        <f t="shared" si="2"/>
        <v>1686.75</v>
      </c>
      <c r="O22" s="84">
        <f t="shared" si="2"/>
        <v>1686.75</v>
      </c>
      <c r="P22" s="84">
        <f t="shared" si="2"/>
        <v>1686.75</v>
      </c>
      <c r="Q22" s="83">
        <f t="shared" si="2"/>
        <v>2124.999279835391</v>
      </c>
      <c r="R22" s="84">
        <f t="shared" si="2"/>
        <v>2163.248559670782</v>
      </c>
      <c r="S22" s="84">
        <f t="shared" si="2"/>
        <v>2201.497839506173</v>
      </c>
      <c r="T22" s="84">
        <f t="shared" si="2"/>
        <v>2239.747119341564</v>
      </c>
      <c r="U22" s="84">
        <f t="shared" si="2"/>
        <v>2277.996399176955</v>
      </c>
      <c r="V22" s="84">
        <f t="shared" si="2"/>
        <v>2316.245679012346</v>
      </c>
      <c r="W22" s="84">
        <f t="shared" si="2"/>
        <v>2354.4949588477366</v>
      </c>
      <c r="X22" s="84">
        <f t="shared" si="2"/>
        <v>2392.744238683128</v>
      </c>
      <c r="Y22" s="84">
        <f t="shared" si="2"/>
        <v>2430.9935185185186</v>
      </c>
      <c r="Z22" s="84">
        <f t="shared" si="2"/>
        <v>2469.24279835391</v>
      </c>
      <c r="AA22" s="84">
        <f t="shared" si="2"/>
        <v>2507.4920781893006</v>
      </c>
      <c r="AB22" s="85">
        <f t="shared" si="2"/>
        <v>2545.741358024692</v>
      </c>
      <c r="AC22" s="83">
        <f t="shared" si="2"/>
        <v>3205.5732510288067</v>
      </c>
      <c r="AD22" s="84">
        <f t="shared" si="2"/>
        <v>3282.0718106995887</v>
      </c>
      <c r="AE22" s="84">
        <f t="shared" si="2"/>
        <v>3358.5703703703707</v>
      </c>
      <c r="AF22" s="84">
        <f t="shared" si="2"/>
        <v>3435.0689300411523</v>
      </c>
      <c r="AG22" s="84">
        <f t="shared" si="2"/>
        <v>3511.5674897119343</v>
      </c>
      <c r="AH22" s="84">
        <f t="shared" si="2"/>
        <v>3588.0660493827163</v>
      </c>
      <c r="AI22" s="84">
        <f t="shared" si="2"/>
        <v>3664.5646090534983</v>
      </c>
      <c r="AJ22" s="84">
        <f t="shared" si="2"/>
        <v>3741.0631687242803</v>
      </c>
      <c r="AK22" s="84">
        <f t="shared" si="2"/>
        <v>3817.561728395062</v>
      </c>
      <c r="AL22" s="84">
        <f t="shared" si="2"/>
        <v>3894.0602880658435</v>
      </c>
      <c r="AM22" s="84">
        <f t="shared" si="2"/>
        <v>3970.5588477366255</v>
      </c>
      <c r="AN22" s="85">
        <f t="shared" si="2"/>
        <v>4047.0574074074075</v>
      </c>
      <c r="AO22" s="84">
        <f t="shared" si="2"/>
        <v>4890.222633744856</v>
      </c>
      <c r="AP22" s="84">
        <f t="shared" si="2"/>
        <v>4966.721193415638</v>
      </c>
      <c r="AQ22" s="84">
        <f t="shared" si="2"/>
        <v>5043.21975308642</v>
      </c>
      <c r="AR22" s="84">
        <f t="shared" si="2"/>
        <v>5265.748312757201</v>
      </c>
      <c r="AS22" s="84">
        <f t="shared" si="2"/>
        <v>5196.216872427983</v>
      </c>
      <c r="AT22" s="84">
        <f t="shared" si="2"/>
        <v>5272.715432098765</v>
      </c>
      <c r="AU22" s="84">
        <f t="shared" si="2"/>
        <v>5349.213991769546</v>
      </c>
      <c r="AV22" s="84">
        <f t="shared" si="2"/>
        <v>5425.712551440328</v>
      </c>
      <c r="AW22" s="84">
        <f t="shared" si="2"/>
        <v>5502.21111111111</v>
      </c>
      <c r="AX22" s="84">
        <f t="shared" si="2"/>
        <v>5578.709670781892</v>
      </c>
      <c r="AY22" s="84">
        <f t="shared" si="2"/>
        <v>5655.208230452674</v>
      </c>
      <c r="AZ22" s="84">
        <f>SUM(AZ23:AZ29)</f>
        <v>5731.706790123456</v>
      </c>
      <c r="BA22" s="83">
        <f t="shared" si="2"/>
        <v>6591.538683127572</v>
      </c>
      <c r="BB22" s="84">
        <f t="shared" si="2"/>
        <v>6668.037242798353</v>
      </c>
      <c r="BC22" s="84">
        <f>SUM(BC23:BC29)</f>
        <v>6744.535802469136</v>
      </c>
      <c r="BD22" s="84">
        <f t="shared" si="2"/>
        <v>6821.034362139917</v>
      </c>
      <c r="BE22" s="84">
        <f>SUM(BE23:BE29)</f>
        <v>6897.5329218107</v>
      </c>
      <c r="BF22" s="84">
        <f t="shared" si="2"/>
        <v>6974.031481481481</v>
      </c>
      <c r="BG22" s="84">
        <f>SUM(BG23:BG29)</f>
        <v>7050.530041152264</v>
      </c>
      <c r="BH22" s="84">
        <f t="shared" si="2"/>
        <v>7127.028600823045</v>
      </c>
      <c r="BI22" s="84">
        <f t="shared" si="2"/>
        <v>7203.527160493828</v>
      </c>
      <c r="BJ22" s="84">
        <f t="shared" si="2"/>
        <v>7280.025720164609</v>
      </c>
      <c r="BK22" s="84">
        <f t="shared" si="2"/>
        <v>7356.524279835392</v>
      </c>
      <c r="BL22" s="85">
        <f t="shared" si="2"/>
        <v>7433.022839506173</v>
      </c>
    </row>
    <row r="23" spans="2:64" s="99" customFormat="1" ht="15.75">
      <c r="B23" s="404" t="str">
        <f>+B9</f>
        <v>R&amp;D (includes consulting expensens for R&amp;D)</v>
      </c>
      <c r="C23" s="376">
        <f>20%/12</f>
        <v>0.016666666666666666</v>
      </c>
      <c r="D23" s="89">
        <v>17641</v>
      </c>
      <c r="E23" s="796">
        <f>+$D$9*$C$23+E9*$C$23</f>
        <v>1470.0833333333333</v>
      </c>
      <c r="F23" s="797">
        <f>+F9*$C$23+E23</f>
        <v>1470.0833333333333</v>
      </c>
      <c r="G23" s="797">
        <f>+G9*$C$23+F23</f>
        <v>1470.0833333333333</v>
      </c>
      <c r="H23" s="797">
        <f>+H9*$C$23+G23</f>
        <v>1470.0833333333333</v>
      </c>
      <c r="I23" s="797">
        <f>+I9*$C$23+H23</f>
        <v>1470.0833333333333</v>
      </c>
      <c r="J23" s="797">
        <f aca="true" t="shared" si="3" ref="J23:BL23">+J9*$C$23+I23</f>
        <v>1470.0833333333333</v>
      </c>
      <c r="K23" s="797">
        <f t="shared" si="3"/>
        <v>1470.0833333333333</v>
      </c>
      <c r="L23" s="797">
        <f t="shared" si="3"/>
        <v>1470.0833333333333</v>
      </c>
      <c r="M23" s="797">
        <f t="shared" si="3"/>
        <v>1470.0833333333333</v>
      </c>
      <c r="N23" s="797">
        <f t="shared" si="3"/>
        <v>1636.75</v>
      </c>
      <c r="O23" s="797">
        <f t="shared" si="3"/>
        <v>1636.75</v>
      </c>
      <c r="P23" s="797">
        <f t="shared" si="3"/>
        <v>1636.75</v>
      </c>
      <c r="Q23" s="796">
        <f>+Q9*$C$23+P23</f>
        <v>1970.0833333333333</v>
      </c>
      <c r="R23" s="797">
        <f t="shared" si="3"/>
        <v>1970.0833333333333</v>
      </c>
      <c r="S23" s="797">
        <f t="shared" si="3"/>
        <v>1970.0833333333333</v>
      </c>
      <c r="T23" s="797">
        <f t="shared" si="3"/>
        <v>1970.0833333333333</v>
      </c>
      <c r="U23" s="797">
        <f t="shared" si="3"/>
        <v>1970.0833333333333</v>
      </c>
      <c r="V23" s="797">
        <f t="shared" si="3"/>
        <v>1970.0833333333333</v>
      </c>
      <c r="W23" s="797">
        <f t="shared" si="3"/>
        <v>1970.0833333333333</v>
      </c>
      <c r="X23" s="797">
        <f t="shared" si="3"/>
        <v>1970.0833333333333</v>
      </c>
      <c r="Y23" s="797">
        <f t="shared" si="3"/>
        <v>1970.0833333333333</v>
      </c>
      <c r="Z23" s="797">
        <f t="shared" si="3"/>
        <v>1970.0833333333333</v>
      </c>
      <c r="AA23" s="797">
        <f t="shared" si="3"/>
        <v>1970.0833333333333</v>
      </c>
      <c r="AB23" s="798">
        <f t="shared" si="3"/>
        <v>1970.0833333333333</v>
      </c>
      <c r="AC23" s="796">
        <f t="shared" si="3"/>
        <v>2470.083333333333</v>
      </c>
      <c r="AD23" s="797">
        <f t="shared" si="3"/>
        <v>2470.083333333333</v>
      </c>
      <c r="AE23" s="797">
        <f t="shared" si="3"/>
        <v>2470.083333333333</v>
      </c>
      <c r="AF23" s="797">
        <f t="shared" si="3"/>
        <v>2470.083333333333</v>
      </c>
      <c r="AG23" s="797">
        <f t="shared" si="3"/>
        <v>2470.083333333333</v>
      </c>
      <c r="AH23" s="797">
        <f t="shared" si="3"/>
        <v>2470.083333333333</v>
      </c>
      <c r="AI23" s="797">
        <f t="shared" si="3"/>
        <v>2470.083333333333</v>
      </c>
      <c r="AJ23" s="797">
        <f t="shared" si="3"/>
        <v>2470.083333333333</v>
      </c>
      <c r="AK23" s="797">
        <f t="shared" si="3"/>
        <v>2470.083333333333</v>
      </c>
      <c r="AL23" s="797">
        <f t="shared" si="3"/>
        <v>2470.083333333333</v>
      </c>
      <c r="AM23" s="797">
        <f t="shared" si="3"/>
        <v>2470.083333333333</v>
      </c>
      <c r="AN23" s="798">
        <f t="shared" si="3"/>
        <v>2470.083333333333</v>
      </c>
      <c r="AO23" s="797">
        <f>+AO9*$C$23+AN23</f>
        <v>3136.7499999999995</v>
      </c>
      <c r="AP23" s="797">
        <f t="shared" si="3"/>
        <v>3136.7499999999995</v>
      </c>
      <c r="AQ23" s="797">
        <f t="shared" si="3"/>
        <v>3136.7499999999995</v>
      </c>
      <c r="AR23" s="797">
        <f t="shared" si="3"/>
        <v>3136.7499999999995</v>
      </c>
      <c r="AS23" s="797">
        <f t="shared" si="3"/>
        <v>3136.7499999999995</v>
      </c>
      <c r="AT23" s="797">
        <f t="shared" si="3"/>
        <v>3136.7499999999995</v>
      </c>
      <c r="AU23" s="797">
        <f t="shared" si="3"/>
        <v>3136.7499999999995</v>
      </c>
      <c r="AV23" s="797">
        <f t="shared" si="3"/>
        <v>3136.7499999999995</v>
      </c>
      <c r="AW23" s="797">
        <f t="shared" si="3"/>
        <v>3136.7499999999995</v>
      </c>
      <c r="AX23" s="797">
        <f t="shared" si="3"/>
        <v>3136.7499999999995</v>
      </c>
      <c r="AY23" s="797">
        <f t="shared" si="3"/>
        <v>3136.7499999999995</v>
      </c>
      <c r="AZ23" s="797">
        <f t="shared" si="3"/>
        <v>3136.7499999999995</v>
      </c>
      <c r="BA23" s="796">
        <f t="shared" si="3"/>
        <v>3803.416666666666</v>
      </c>
      <c r="BB23" s="797">
        <f t="shared" si="3"/>
        <v>3803.416666666666</v>
      </c>
      <c r="BC23" s="797">
        <f t="shared" si="3"/>
        <v>3803.416666666666</v>
      </c>
      <c r="BD23" s="797">
        <f t="shared" si="3"/>
        <v>3803.416666666666</v>
      </c>
      <c r="BE23" s="797">
        <f t="shared" si="3"/>
        <v>3803.416666666666</v>
      </c>
      <c r="BF23" s="797">
        <f t="shared" si="3"/>
        <v>3803.416666666666</v>
      </c>
      <c r="BG23" s="797">
        <f t="shared" si="3"/>
        <v>3803.416666666666</v>
      </c>
      <c r="BH23" s="797">
        <f t="shared" si="3"/>
        <v>3803.416666666666</v>
      </c>
      <c r="BI23" s="797">
        <f t="shared" si="3"/>
        <v>3803.416666666666</v>
      </c>
      <c r="BJ23" s="797">
        <f t="shared" si="3"/>
        <v>3803.416666666666</v>
      </c>
      <c r="BK23" s="797">
        <f t="shared" si="3"/>
        <v>3803.416666666666</v>
      </c>
      <c r="BL23" s="798">
        <f t="shared" si="3"/>
        <v>3803.416666666666</v>
      </c>
    </row>
    <row r="24" spans="2:64" s="99" customFormat="1" ht="15.75">
      <c r="B24" s="404" t="str">
        <f aca="true" t="shared" si="4" ref="B24:B28">+B10</f>
        <v>Trademark &amp; Patents</v>
      </c>
      <c r="C24" s="376">
        <f aca="true" t="shared" si="5" ref="C24:C28">20%/12</f>
        <v>0.016666666666666666</v>
      </c>
      <c r="D24" s="89"/>
      <c r="E24" s="796">
        <f>+$D$10*$C$24+E10*$C$24</f>
        <v>0</v>
      </c>
      <c r="F24" s="797">
        <f>+F10*$C$24+E24</f>
        <v>0</v>
      </c>
      <c r="G24" s="797">
        <f aca="true" t="shared" si="6" ref="G24:BL24">+G10*$C$24+F24</f>
        <v>0</v>
      </c>
      <c r="H24" s="797">
        <f>+H10*$C$24+G24</f>
        <v>0</v>
      </c>
      <c r="I24" s="797">
        <f t="shared" si="6"/>
        <v>0</v>
      </c>
      <c r="J24" s="797">
        <f t="shared" si="6"/>
        <v>0</v>
      </c>
      <c r="K24" s="797">
        <f t="shared" si="6"/>
        <v>0</v>
      </c>
      <c r="L24" s="797">
        <f t="shared" si="6"/>
        <v>0</v>
      </c>
      <c r="M24" s="797">
        <f t="shared" si="6"/>
        <v>0</v>
      </c>
      <c r="N24" s="797">
        <f t="shared" si="6"/>
        <v>0</v>
      </c>
      <c r="O24" s="797">
        <f t="shared" si="6"/>
        <v>0</v>
      </c>
      <c r="P24" s="797">
        <f t="shared" si="6"/>
        <v>0</v>
      </c>
      <c r="Q24" s="796">
        <f t="shared" si="6"/>
        <v>0</v>
      </c>
      <c r="R24" s="797">
        <f t="shared" si="6"/>
        <v>0</v>
      </c>
      <c r="S24" s="797">
        <f t="shared" si="6"/>
        <v>0</v>
      </c>
      <c r="T24" s="797">
        <f t="shared" si="6"/>
        <v>0</v>
      </c>
      <c r="U24" s="797">
        <f t="shared" si="6"/>
        <v>0</v>
      </c>
      <c r="V24" s="797">
        <f t="shared" si="6"/>
        <v>0</v>
      </c>
      <c r="W24" s="797">
        <f t="shared" si="6"/>
        <v>0</v>
      </c>
      <c r="X24" s="797">
        <f t="shared" si="6"/>
        <v>0</v>
      </c>
      <c r="Y24" s="797">
        <f t="shared" si="6"/>
        <v>0</v>
      </c>
      <c r="Z24" s="797">
        <f t="shared" si="6"/>
        <v>0</v>
      </c>
      <c r="AA24" s="797">
        <f t="shared" si="6"/>
        <v>0</v>
      </c>
      <c r="AB24" s="798">
        <f t="shared" si="6"/>
        <v>0</v>
      </c>
      <c r="AC24" s="796">
        <f t="shared" si="6"/>
        <v>0</v>
      </c>
      <c r="AD24" s="797">
        <f t="shared" si="6"/>
        <v>0</v>
      </c>
      <c r="AE24" s="797">
        <f t="shared" si="6"/>
        <v>0</v>
      </c>
      <c r="AF24" s="797">
        <f t="shared" si="6"/>
        <v>0</v>
      </c>
      <c r="AG24" s="797">
        <f t="shared" si="6"/>
        <v>0</v>
      </c>
      <c r="AH24" s="797">
        <f t="shared" si="6"/>
        <v>0</v>
      </c>
      <c r="AI24" s="797">
        <f t="shared" si="6"/>
        <v>0</v>
      </c>
      <c r="AJ24" s="797">
        <f t="shared" si="6"/>
        <v>0</v>
      </c>
      <c r="AK24" s="797">
        <f t="shared" si="6"/>
        <v>0</v>
      </c>
      <c r="AL24" s="797">
        <f t="shared" si="6"/>
        <v>0</v>
      </c>
      <c r="AM24" s="797">
        <f t="shared" si="6"/>
        <v>0</v>
      </c>
      <c r="AN24" s="798">
        <f t="shared" si="6"/>
        <v>0</v>
      </c>
      <c r="AO24" s="797">
        <f t="shared" si="6"/>
        <v>0</v>
      </c>
      <c r="AP24" s="797">
        <f t="shared" si="6"/>
        <v>0</v>
      </c>
      <c r="AQ24" s="797">
        <f t="shared" si="6"/>
        <v>0</v>
      </c>
      <c r="AR24" s="797">
        <f t="shared" si="6"/>
        <v>0</v>
      </c>
      <c r="AS24" s="797">
        <f t="shared" si="6"/>
        <v>0</v>
      </c>
      <c r="AT24" s="797">
        <f t="shared" si="6"/>
        <v>0</v>
      </c>
      <c r="AU24" s="797">
        <f t="shared" si="6"/>
        <v>0</v>
      </c>
      <c r="AV24" s="797">
        <f t="shared" si="6"/>
        <v>0</v>
      </c>
      <c r="AW24" s="797">
        <f t="shared" si="6"/>
        <v>0</v>
      </c>
      <c r="AX24" s="797">
        <f t="shared" si="6"/>
        <v>0</v>
      </c>
      <c r="AY24" s="797">
        <f t="shared" si="6"/>
        <v>0</v>
      </c>
      <c r="AZ24" s="797">
        <f t="shared" si="6"/>
        <v>0</v>
      </c>
      <c r="BA24" s="796">
        <f t="shared" si="6"/>
        <v>0</v>
      </c>
      <c r="BB24" s="797">
        <f t="shared" si="6"/>
        <v>0</v>
      </c>
      <c r="BC24" s="797">
        <f t="shared" si="6"/>
        <v>0</v>
      </c>
      <c r="BD24" s="797">
        <f t="shared" si="6"/>
        <v>0</v>
      </c>
      <c r="BE24" s="797">
        <f t="shared" si="6"/>
        <v>0</v>
      </c>
      <c r="BF24" s="797">
        <f t="shared" si="6"/>
        <v>0</v>
      </c>
      <c r="BG24" s="797">
        <f t="shared" si="6"/>
        <v>0</v>
      </c>
      <c r="BH24" s="797">
        <f t="shared" si="6"/>
        <v>0</v>
      </c>
      <c r="BI24" s="797">
        <f t="shared" si="6"/>
        <v>0</v>
      </c>
      <c r="BJ24" s="797">
        <f t="shared" si="6"/>
        <v>0</v>
      </c>
      <c r="BK24" s="797">
        <f t="shared" si="6"/>
        <v>0</v>
      </c>
      <c r="BL24" s="798">
        <f t="shared" si="6"/>
        <v>0</v>
      </c>
    </row>
    <row r="25" spans="2:64" s="99" customFormat="1" ht="15.75">
      <c r="B25" s="404" t="str">
        <f t="shared" si="4"/>
        <v>Startup Cost</v>
      </c>
      <c r="C25" s="376">
        <f t="shared" si="5"/>
        <v>0.016666666666666666</v>
      </c>
      <c r="D25" s="89"/>
      <c r="E25" s="796">
        <f>D11*C25+E11*C25</f>
        <v>0</v>
      </c>
      <c r="F25" s="797">
        <f>+F11*$C$25+E25</f>
        <v>0</v>
      </c>
      <c r="G25" s="797">
        <f aca="true" t="shared" si="7" ref="G25:BL25">+G11*$C$25+F25</f>
        <v>0</v>
      </c>
      <c r="H25" s="797">
        <f t="shared" si="7"/>
        <v>0</v>
      </c>
      <c r="I25" s="797">
        <f t="shared" si="7"/>
        <v>0</v>
      </c>
      <c r="J25" s="797">
        <f t="shared" si="7"/>
        <v>0</v>
      </c>
      <c r="K25" s="797">
        <f t="shared" si="7"/>
        <v>0</v>
      </c>
      <c r="L25" s="797">
        <f t="shared" si="7"/>
        <v>0</v>
      </c>
      <c r="M25" s="797">
        <f t="shared" si="7"/>
        <v>0</v>
      </c>
      <c r="N25" s="797">
        <f t="shared" si="7"/>
        <v>0</v>
      </c>
      <c r="O25" s="797">
        <f t="shared" si="7"/>
        <v>0</v>
      </c>
      <c r="P25" s="797">
        <f t="shared" si="7"/>
        <v>0</v>
      </c>
      <c r="Q25" s="796">
        <f t="shared" si="7"/>
        <v>0</v>
      </c>
      <c r="R25" s="797">
        <f t="shared" si="7"/>
        <v>0</v>
      </c>
      <c r="S25" s="797">
        <f t="shared" si="7"/>
        <v>0</v>
      </c>
      <c r="T25" s="797">
        <f t="shared" si="7"/>
        <v>0</v>
      </c>
      <c r="U25" s="797">
        <f t="shared" si="7"/>
        <v>0</v>
      </c>
      <c r="V25" s="797">
        <f t="shared" si="7"/>
        <v>0</v>
      </c>
      <c r="W25" s="797">
        <f t="shared" si="7"/>
        <v>0</v>
      </c>
      <c r="X25" s="797">
        <f t="shared" si="7"/>
        <v>0</v>
      </c>
      <c r="Y25" s="797">
        <f t="shared" si="7"/>
        <v>0</v>
      </c>
      <c r="Z25" s="797">
        <f t="shared" si="7"/>
        <v>0</v>
      </c>
      <c r="AA25" s="797">
        <f t="shared" si="7"/>
        <v>0</v>
      </c>
      <c r="AB25" s="798">
        <f t="shared" si="7"/>
        <v>0</v>
      </c>
      <c r="AC25" s="796">
        <f t="shared" si="7"/>
        <v>0</v>
      </c>
      <c r="AD25" s="797">
        <f t="shared" si="7"/>
        <v>0</v>
      </c>
      <c r="AE25" s="797">
        <f t="shared" si="7"/>
        <v>0</v>
      </c>
      <c r="AF25" s="797">
        <f t="shared" si="7"/>
        <v>0</v>
      </c>
      <c r="AG25" s="797">
        <f t="shared" si="7"/>
        <v>0</v>
      </c>
      <c r="AH25" s="797">
        <f t="shared" si="7"/>
        <v>0</v>
      </c>
      <c r="AI25" s="797">
        <f t="shared" si="7"/>
        <v>0</v>
      </c>
      <c r="AJ25" s="797">
        <f t="shared" si="7"/>
        <v>0</v>
      </c>
      <c r="AK25" s="797">
        <f t="shared" si="7"/>
        <v>0</v>
      </c>
      <c r="AL25" s="797">
        <f t="shared" si="7"/>
        <v>0</v>
      </c>
      <c r="AM25" s="797">
        <f t="shared" si="7"/>
        <v>0</v>
      </c>
      <c r="AN25" s="798">
        <f t="shared" si="7"/>
        <v>0</v>
      </c>
      <c r="AO25" s="797">
        <f t="shared" si="7"/>
        <v>0</v>
      </c>
      <c r="AP25" s="797">
        <f t="shared" si="7"/>
        <v>0</v>
      </c>
      <c r="AQ25" s="797">
        <f t="shared" si="7"/>
        <v>0</v>
      </c>
      <c r="AR25" s="797">
        <f t="shared" si="7"/>
        <v>0</v>
      </c>
      <c r="AS25" s="797">
        <f t="shared" si="7"/>
        <v>0</v>
      </c>
      <c r="AT25" s="797">
        <f t="shared" si="7"/>
        <v>0</v>
      </c>
      <c r="AU25" s="797">
        <f t="shared" si="7"/>
        <v>0</v>
      </c>
      <c r="AV25" s="797">
        <f t="shared" si="7"/>
        <v>0</v>
      </c>
      <c r="AW25" s="797">
        <f t="shared" si="7"/>
        <v>0</v>
      </c>
      <c r="AX25" s="797">
        <f t="shared" si="7"/>
        <v>0</v>
      </c>
      <c r="AY25" s="797">
        <f t="shared" si="7"/>
        <v>0</v>
      </c>
      <c r="AZ25" s="797">
        <f t="shared" si="7"/>
        <v>0</v>
      </c>
      <c r="BA25" s="796">
        <f t="shared" si="7"/>
        <v>0</v>
      </c>
      <c r="BB25" s="797">
        <f t="shared" si="7"/>
        <v>0</v>
      </c>
      <c r="BC25" s="797">
        <f t="shared" si="7"/>
        <v>0</v>
      </c>
      <c r="BD25" s="797">
        <f t="shared" si="7"/>
        <v>0</v>
      </c>
      <c r="BE25" s="797">
        <f t="shared" si="7"/>
        <v>0</v>
      </c>
      <c r="BF25" s="797">
        <f t="shared" si="7"/>
        <v>0</v>
      </c>
      <c r="BG25" s="797">
        <f t="shared" si="7"/>
        <v>0</v>
      </c>
      <c r="BH25" s="797">
        <f t="shared" si="7"/>
        <v>0</v>
      </c>
      <c r="BI25" s="797">
        <f t="shared" si="7"/>
        <v>0</v>
      </c>
      <c r="BJ25" s="797">
        <f t="shared" si="7"/>
        <v>0</v>
      </c>
      <c r="BK25" s="797">
        <f t="shared" si="7"/>
        <v>0</v>
      </c>
      <c r="BL25" s="798">
        <f t="shared" si="7"/>
        <v>0</v>
      </c>
    </row>
    <row r="26" spans="2:64" s="99" customFormat="1" ht="16.95" customHeight="1">
      <c r="B26" s="404" t="str">
        <f t="shared" si="4"/>
        <v xml:space="preserve">Intangible investment </v>
      </c>
      <c r="C26" s="376">
        <f>23%/12</f>
        <v>0.01916666666666667</v>
      </c>
      <c r="D26" s="208"/>
      <c r="E26" s="796">
        <f>D12*C26+E12*C26</f>
        <v>0</v>
      </c>
      <c r="F26" s="797">
        <f>+F12*$C$26+E26</f>
        <v>0</v>
      </c>
      <c r="G26" s="797">
        <f aca="true" t="shared" si="8" ref="G26:AQ26">+G12*$C$26+F26</f>
        <v>0</v>
      </c>
      <c r="H26" s="797">
        <f t="shared" si="8"/>
        <v>0</v>
      </c>
      <c r="I26" s="797">
        <f t="shared" si="8"/>
        <v>0</v>
      </c>
      <c r="J26" s="797">
        <f t="shared" si="8"/>
        <v>0</v>
      </c>
      <c r="K26" s="797">
        <f t="shared" si="8"/>
        <v>0</v>
      </c>
      <c r="L26" s="797">
        <f t="shared" si="8"/>
        <v>0</v>
      </c>
      <c r="M26" s="797">
        <f t="shared" si="8"/>
        <v>0</v>
      </c>
      <c r="N26" s="797">
        <f t="shared" si="8"/>
        <v>0</v>
      </c>
      <c r="O26" s="797">
        <f t="shared" si="8"/>
        <v>0</v>
      </c>
      <c r="P26" s="797">
        <f t="shared" si="8"/>
        <v>0</v>
      </c>
      <c r="Q26" s="796">
        <f t="shared" si="8"/>
        <v>0</v>
      </c>
      <c r="R26" s="797">
        <f t="shared" si="8"/>
        <v>0</v>
      </c>
      <c r="S26" s="797">
        <f t="shared" si="8"/>
        <v>0</v>
      </c>
      <c r="T26" s="797">
        <f t="shared" si="8"/>
        <v>0</v>
      </c>
      <c r="U26" s="797">
        <f t="shared" si="8"/>
        <v>0</v>
      </c>
      <c r="V26" s="797">
        <f t="shared" si="8"/>
        <v>0</v>
      </c>
      <c r="W26" s="797">
        <f t="shared" si="8"/>
        <v>0</v>
      </c>
      <c r="X26" s="797">
        <f t="shared" si="8"/>
        <v>0</v>
      </c>
      <c r="Y26" s="797">
        <f t="shared" si="8"/>
        <v>0</v>
      </c>
      <c r="Z26" s="797">
        <f t="shared" si="8"/>
        <v>0</v>
      </c>
      <c r="AA26" s="797">
        <f t="shared" si="8"/>
        <v>0</v>
      </c>
      <c r="AB26" s="798">
        <f t="shared" si="8"/>
        <v>0</v>
      </c>
      <c r="AC26" s="796">
        <f t="shared" si="8"/>
        <v>0</v>
      </c>
      <c r="AD26" s="797">
        <f t="shared" si="8"/>
        <v>0</v>
      </c>
      <c r="AE26" s="797">
        <f t="shared" si="8"/>
        <v>0</v>
      </c>
      <c r="AF26" s="797">
        <f t="shared" si="8"/>
        <v>0</v>
      </c>
      <c r="AG26" s="797">
        <f t="shared" si="8"/>
        <v>0</v>
      </c>
      <c r="AH26" s="797">
        <f t="shared" si="8"/>
        <v>0</v>
      </c>
      <c r="AI26" s="797">
        <f t="shared" si="8"/>
        <v>0</v>
      </c>
      <c r="AJ26" s="797">
        <f t="shared" si="8"/>
        <v>0</v>
      </c>
      <c r="AK26" s="797">
        <f t="shared" si="8"/>
        <v>0</v>
      </c>
      <c r="AL26" s="797">
        <f t="shared" si="8"/>
        <v>0</v>
      </c>
      <c r="AM26" s="797">
        <f t="shared" si="8"/>
        <v>0</v>
      </c>
      <c r="AN26" s="798">
        <f t="shared" si="8"/>
        <v>0</v>
      </c>
      <c r="AO26" s="797">
        <f t="shared" si="8"/>
        <v>0</v>
      </c>
      <c r="AP26" s="797">
        <f t="shared" si="8"/>
        <v>0</v>
      </c>
      <c r="AQ26" s="797">
        <f t="shared" si="8"/>
        <v>0</v>
      </c>
      <c r="AR26" s="797">
        <f>+AR12*$C$26+AQ26+146.03</f>
        <v>146.03</v>
      </c>
      <c r="AS26" s="797"/>
      <c r="AT26" s="797"/>
      <c r="AU26" s="797"/>
      <c r="AV26" s="797"/>
      <c r="AW26" s="797"/>
      <c r="AX26" s="797"/>
      <c r="AY26" s="797"/>
      <c r="AZ26" s="797"/>
      <c r="BA26" s="796"/>
      <c r="BB26" s="797"/>
      <c r="BC26" s="797"/>
      <c r="BD26" s="797"/>
      <c r="BE26" s="797"/>
      <c r="BF26" s="797"/>
      <c r="BG26" s="797"/>
      <c r="BH26" s="797"/>
      <c r="BI26" s="797"/>
      <c r="BJ26" s="797"/>
      <c r="BK26" s="797"/>
      <c r="BL26" s="798"/>
    </row>
    <row r="27" spans="2:64" s="99" customFormat="1" ht="16.95" customHeight="1">
      <c r="B27" s="404" t="str">
        <f t="shared" si="4"/>
        <v>Software and software license</v>
      </c>
      <c r="C27" s="376">
        <f t="shared" si="5"/>
        <v>0.016666666666666666</v>
      </c>
      <c r="D27" s="92"/>
      <c r="E27" s="797">
        <f aca="true" t="shared" si="9" ref="E27">D13*C27+E13*C27</f>
        <v>50</v>
      </c>
      <c r="F27" s="797">
        <f>+F13*$C$27+E27</f>
        <v>50</v>
      </c>
      <c r="G27" s="797">
        <f aca="true" t="shared" si="10" ref="G27:BL27">+G13*$C$27+F27</f>
        <v>50</v>
      </c>
      <c r="H27" s="797">
        <f t="shared" si="10"/>
        <v>50</v>
      </c>
      <c r="I27" s="797">
        <f t="shared" si="10"/>
        <v>50</v>
      </c>
      <c r="J27" s="797">
        <f t="shared" si="10"/>
        <v>50</v>
      </c>
      <c r="K27" s="797">
        <f t="shared" si="10"/>
        <v>50</v>
      </c>
      <c r="L27" s="797">
        <f t="shared" si="10"/>
        <v>50</v>
      </c>
      <c r="M27" s="797">
        <f t="shared" si="10"/>
        <v>50</v>
      </c>
      <c r="N27" s="797">
        <f t="shared" si="10"/>
        <v>50</v>
      </c>
      <c r="O27" s="797">
        <f t="shared" si="10"/>
        <v>50</v>
      </c>
      <c r="P27" s="797">
        <f t="shared" si="10"/>
        <v>50</v>
      </c>
      <c r="Q27" s="796">
        <f t="shared" si="10"/>
        <v>116.66666666666667</v>
      </c>
      <c r="R27" s="797">
        <f t="shared" si="10"/>
        <v>116.66666666666667</v>
      </c>
      <c r="S27" s="797">
        <f t="shared" si="10"/>
        <v>116.66666666666667</v>
      </c>
      <c r="T27" s="797">
        <f t="shared" si="10"/>
        <v>116.66666666666667</v>
      </c>
      <c r="U27" s="797">
        <f t="shared" si="10"/>
        <v>116.66666666666667</v>
      </c>
      <c r="V27" s="797">
        <f t="shared" si="10"/>
        <v>116.66666666666667</v>
      </c>
      <c r="W27" s="797">
        <f t="shared" si="10"/>
        <v>116.66666666666667</v>
      </c>
      <c r="X27" s="797">
        <f t="shared" si="10"/>
        <v>116.66666666666667</v>
      </c>
      <c r="Y27" s="797">
        <f t="shared" si="10"/>
        <v>116.66666666666667</v>
      </c>
      <c r="Z27" s="797">
        <f t="shared" si="10"/>
        <v>116.66666666666667</v>
      </c>
      <c r="AA27" s="797">
        <f t="shared" si="10"/>
        <v>116.66666666666667</v>
      </c>
      <c r="AB27" s="798">
        <f t="shared" si="10"/>
        <v>116.66666666666667</v>
      </c>
      <c r="AC27" s="796">
        <f t="shared" si="10"/>
        <v>200</v>
      </c>
      <c r="AD27" s="797">
        <f t="shared" si="10"/>
        <v>200</v>
      </c>
      <c r="AE27" s="797">
        <f t="shared" si="10"/>
        <v>200</v>
      </c>
      <c r="AF27" s="797">
        <f t="shared" si="10"/>
        <v>200</v>
      </c>
      <c r="AG27" s="797">
        <f t="shared" si="10"/>
        <v>200</v>
      </c>
      <c r="AH27" s="797">
        <f t="shared" si="10"/>
        <v>200</v>
      </c>
      <c r="AI27" s="797">
        <f t="shared" si="10"/>
        <v>200</v>
      </c>
      <c r="AJ27" s="797">
        <f t="shared" si="10"/>
        <v>200</v>
      </c>
      <c r="AK27" s="797">
        <f t="shared" si="10"/>
        <v>200</v>
      </c>
      <c r="AL27" s="797">
        <f t="shared" si="10"/>
        <v>200</v>
      </c>
      <c r="AM27" s="797">
        <f t="shared" si="10"/>
        <v>200</v>
      </c>
      <c r="AN27" s="798">
        <f t="shared" si="10"/>
        <v>200</v>
      </c>
      <c r="AO27" s="797">
        <f t="shared" si="10"/>
        <v>300</v>
      </c>
      <c r="AP27" s="797">
        <f t="shared" si="10"/>
        <v>300</v>
      </c>
      <c r="AQ27" s="797">
        <f t="shared" si="10"/>
        <v>300</v>
      </c>
      <c r="AR27" s="797">
        <f t="shared" si="10"/>
        <v>300</v>
      </c>
      <c r="AS27" s="797">
        <f t="shared" si="10"/>
        <v>300</v>
      </c>
      <c r="AT27" s="797">
        <f t="shared" si="10"/>
        <v>300</v>
      </c>
      <c r="AU27" s="797">
        <f t="shared" si="10"/>
        <v>300</v>
      </c>
      <c r="AV27" s="797">
        <f t="shared" si="10"/>
        <v>300</v>
      </c>
      <c r="AW27" s="797">
        <f t="shared" si="10"/>
        <v>300</v>
      </c>
      <c r="AX27" s="797">
        <f t="shared" si="10"/>
        <v>300</v>
      </c>
      <c r="AY27" s="797">
        <f t="shared" si="10"/>
        <v>300</v>
      </c>
      <c r="AZ27" s="797">
        <f t="shared" si="10"/>
        <v>300</v>
      </c>
      <c r="BA27" s="796">
        <f t="shared" si="10"/>
        <v>416.6666666666667</v>
      </c>
      <c r="BB27" s="797">
        <f t="shared" si="10"/>
        <v>416.6666666666667</v>
      </c>
      <c r="BC27" s="797">
        <f t="shared" si="10"/>
        <v>416.6666666666667</v>
      </c>
      <c r="BD27" s="797">
        <f t="shared" si="10"/>
        <v>416.6666666666667</v>
      </c>
      <c r="BE27" s="797">
        <f t="shared" si="10"/>
        <v>416.6666666666667</v>
      </c>
      <c r="BF27" s="797">
        <f t="shared" si="10"/>
        <v>416.6666666666667</v>
      </c>
      <c r="BG27" s="797">
        <f t="shared" si="10"/>
        <v>416.6666666666667</v>
      </c>
      <c r="BH27" s="797">
        <f t="shared" si="10"/>
        <v>416.6666666666667</v>
      </c>
      <c r="BI27" s="797">
        <f t="shared" si="10"/>
        <v>416.6666666666667</v>
      </c>
      <c r="BJ27" s="797">
        <f t="shared" si="10"/>
        <v>416.6666666666667</v>
      </c>
      <c r="BK27" s="797">
        <f t="shared" si="10"/>
        <v>416.6666666666667</v>
      </c>
      <c r="BL27" s="798">
        <f t="shared" si="10"/>
        <v>416.6666666666667</v>
      </c>
    </row>
    <row r="28" spans="2:64" s="99" customFormat="1" ht="16.95" customHeight="1">
      <c r="B28" s="404" t="str">
        <f t="shared" si="4"/>
        <v>R&amp;D (HR)</v>
      </c>
      <c r="C28" s="376">
        <f t="shared" si="5"/>
        <v>0.016666666666666666</v>
      </c>
      <c r="D28" s="92"/>
      <c r="E28" s="797">
        <f>+E14*$C$28+D28</f>
        <v>0</v>
      </c>
      <c r="F28" s="797">
        <f>+F14*$C$28+E28</f>
        <v>0</v>
      </c>
      <c r="G28" s="797">
        <f>+G14*$C$28+F28</f>
        <v>0</v>
      </c>
      <c r="H28" s="797">
        <f aca="true" t="shared" si="11" ref="H28">+H14*$C$28+G28</f>
        <v>0</v>
      </c>
      <c r="I28" s="797">
        <f aca="true" t="shared" si="12" ref="I28">+I14*$C$28+H28</f>
        <v>0</v>
      </c>
      <c r="J28" s="797">
        <f aca="true" t="shared" si="13" ref="J28">+J14*$C$28+I28</f>
        <v>0</v>
      </c>
      <c r="K28" s="797">
        <f aca="true" t="shared" si="14" ref="K28">+K14*$C$28+J28</f>
        <v>0</v>
      </c>
      <c r="L28" s="797">
        <f aca="true" t="shared" si="15" ref="L28">+L14*$C$28+K28</f>
        <v>0</v>
      </c>
      <c r="M28" s="797">
        <f aca="true" t="shared" si="16" ref="M28:BL28">+M14*$C$28+L28</f>
        <v>0</v>
      </c>
      <c r="N28" s="797">
        <f t="shared" si="16"/>
        <v>0</v>
      </c>
      <c r="O28" s="797">
        <f t="shared" si="16"/>
        <v>0</v>
      </c>
      <c r="P28" s="797">
        <f t="shared" si="16"/>
        <v>0</v>
      </c>
      <c r="Q28" s="796">
        <f t="shared" si="16"/>
        <v>38.24927983539098</v>
      </c>
      <c r="R28" s="797">
        <f t="shared" si="16"/>
        <v>76.49855967078196</v>
      </c>
      <c r="S28" s="797">
        <f t="shared" si="16"/>
        <v>114.74783950617294</v>
      </c>
      <c r="T28" s="797">
        <f t="shared" si="16"/>
        <v>152.99711934156392</v>
      </c>
      <c r="U28" s="797">
        <f t="shared" si="16"/>
        <v>191.2463991769549</v>
      </c>
      <c r="V28" s="797">
        <f t="shared" si="16"/>
        <v>229.49567901234587</v>
      </c>
      <c r="W28" s="797">
        <f t="shared" si="16"/>
        <v>267.7449588477368</v>
      </c>
      <c r="X28" s="797">
        <f t="shared" si="16"/>
        <v>305.99423868312783</v>
      </c>
      <c r="Y28" s="797">
        <f t="shared" si="16"/>
        <v>344.24351851851884</v>
      </c>
      <c r="Z28" s="797">
        <f t="shared" si="16"/>
        <v>382.49279835390985</v>
      </c>
      <c r="AA28" s="797">
        <f t="shared" si="16"/>
        <v>420.74207818930086</v>
      </c>
      <c r="AB28" s="798">
        <f t="shared" si="16"/>
        <v>458.99135802469186</v>
      </c>
      <c r="AC28" s="796">
        <f t="shared" si="16"/>
        <v>535.4899176954738</v>
      </c>
      <c r="AD28" s="797">
        <f t="shared" si="16"/>
        <v>611.9884773662557</v>
      </c>
      <c r="AE28" s="797">
        <f t="shared" si="16"/>
        <v>688.4870370370376</v>
      </c>
      <c r="AF28" s="797">
        <f t="shared" si="16"/>
        <v>764.9855967078195</v>
      </c>
      <c r="AG28" s="797">
        <f t="shared" si="16"/>
        <v>841.4841563786014</v>
      </c>
      <c r="AH28" s="797">
        <f t="shared" si="16"/>
        <v>917.9827160493833</v>
      </c>
      <c r="AI28" s="797">
        <f t="shared" si="16"/>
        <v>994.4812757201652</v>
      </c>
      <c r="AJ28" s="797">
        <f t="shared" si="16"/>
        <v>1070.979835390947</v>
      </c>
      <c r="AK28" s="797">
        <f t="shared" si="16"/>
        <v>1147.4783950617289</v>
      </c>
      <c r="AL28" s="797">
        <f t="shared" si="16"/>
        <v>1223.9769547325106</v>
      </c>
      <c r="AM28" s="797">
        <f t="shared" si="16"/>
        <v>1300.4755144032924</v>
      </c>
      <c r="AN28" s="798">
        <f t="shared" si="16"/>
        <v>1376.9740740740742</v>
      </c>
      <c r="AO28" s="797">
        <f t="shared" si="16"/>
        <v>1453.472633744856</v>
      </c>
      <c r="AP28" s="797">
        <f t="shared" si="16"/>
        <v>1529.9711934156378</v>
      </c>
      <c r="AQ28" s="797">
        <f t="shared" si="16"/>
        <v>1606.4697530864196</v>
      </c>
      <c r="AR28" s="797">
        <f t="shared" si="16"/>
        <v>1682.9683127572014</v>
      </c>
      <c r="AS28" s="797">
        <f t="shared" si="16"/>
        <v>1759.4668724279832</v>
      </c>
      <c r="AT28" s="797">
        <f t="shared" si="16"/>
        <v>1835.965432098765</v>
      </c>
      <c r="AU28" s="797">
        <f t="shared" si="16"/>
        <v>1912.4639917695467</v>
      </c>
      <c r="AV28" s="797">
        <f t="shared" si="16"/>
        <v>1988.9625514403285</v>
      </c>
      <c r="AW28" s="797">
        <f t="shared" si="16"/>
        <v>2065.4611111111103</v>
      </c>
      <c r="AX28" s="797">
        <f t="shared" si="16"/>
        <v>2141.9596707818923</v>
      </c>
      <c r="AY28" s="797">
        <f t="shared" si="16"/>
        <v>2218.4582304526743</v>
      </c>
      <c r="AZ28" s="797">
        <f t="shared" si="16"/>
        <v>2294.9567901234564</v>
      </c>
      <c r="BA28" s="796">
        <f t="shared" si="16"/>
        <v>2371.4553497942384</v>
      </c>
      <c r="BB28" s="797">
        <f t="shared" si="16"/>
        <v>2447.9539094650204</v>
      </c>
      <c r="BC28" s="797">
        <f t="shared" si="16"/>
        <v>2524.4524691358024</v>
      </c>
      <c r="BD28" s="797">
        <f t="shared" si="16"/>
        <v>2600.9510288065844</v>
      </c>
      <c r="BE28" s="797">
        <f t="shared" si="16"/>
        <v>2677.4495884773664</v>
      </c>
      <c r="BF28" s="797">
        <f t="shared" si="16"/>
        <v>2753.9481481481484</v>
      </c>
      <c r="BG28" s="797">
        <f t="shared" si="16"/>
        <v>2830.4467078189305</v>
      </c>
      <c r="BH28" s="797">
        <f t="shared" si="16"/>
        <v>2906.9452674897125</v>
      </c>
      <c r="BI28" s="797">
        <f t="shared" si="16"/>
        <v>2983.4438271604945</v>
      </c>
      <c r="BJ28" s="797">
        <f t="shared" si="16"/>
        <v>3059.9423868312765</v>
      </c>
      <c r="BK28" s="797">
        <f t="shared" si="16"/>
        <v>3136.4409465020585</v>
      </c>
      <c r="BL28" s="798">
        <f t="shared" si="16"/>
        <v>3212.9395061728405</v>
      </c>
    </row>
    <row r="29" spans="2:64" s="8" customFormat="1" ht="16.2" thickBot="1">
      <c r="B29" s="206"/>
      <c r="C29" s="376"/>
      <c r="D29" s="452"/>
      <c r="E29" s="799"/>
      <c r="F29" s="800"/>
      <c r="G29" s="800"/>
      <c r="H29" s="800"/>
      <c r="I29" s="800"/>
      <c r="J29" s="800"/>
      <c r="K29" s="800"/>
      <c r="L29" s="800"/>
      <c r="M29" s="797"/>
      <c r="N29" s="797"/>
      <c r="O29" s="797"/>
      <c r="P29" s="797"/>
      <c r="Q29" s="801"/>
      <c r="R29" s="802"/>
      <c r="S29" s="802"/>
      <c r="T29" s="802"/>
      <c r="U29" s="802"/>
      <c r="V29" s="802"/>
      <c r="W29" s="802"/>
      <c r="X29" s="802"/>
      <c r="Y29" s="802"/>
      <c r="Z29" s="802"/>
      <c r="AA29" s="802"/>
      <c r="AB29" s="803"/>
      <c r="AC29" s="801"/>
      <c r="AD29" s="802"/>
      <c r="AE29" s="802"/>
      <c r="AF29" s="802"/>
      <c r="AG29" s="802"/>
      <c r="AH29" s="802"/>
      <c r="AI29" s="802"/>
      <c r="AJ29" s="802"/>
      <c r="AK29" s="802"/>
      <c r="AL29" s="802"/>
      <c r="AM29" s="802"/>
      <c r="AN29" s="803"/>
      <c r="AO29" s="797"/>
      <c r="AP29" s="797"/>
      <c r="AQ29" s="797"/>
      <c r="AR29" s="797"/>
      <c r="AS29" s="797"/>
      <c r="AT29" s="797"/>
      <c r="AU29" s="797"/>
      <c r="AV29" s="797"/>
      <c r="AW29" s="797"/>
      <c r="AX29" s="797"/>
      <c r="AY29" s="797"/>
      <c r="AZ29" s="797"/>
      <c r="BA29" s="801"/>
      <c r="BB29" s="802"/>
      <c r="BC29" s="802"/>
      <c r="BD29" s="802"/>
      <c r="BE29" s="802"/>
      <c r="BF29" s="802"/>
      <c r="BG29" s="802"/>
      <c r="BH29" s="802"/>
      <c r="BI29" s="802"/>
      <c r="BJ29" s="802"/>
      <c r="BK29" s="802"/>
      <c r="BL29" s="803"/>
    </row>
    <row r="30" spans="2:64" ht="15.75">
      <c r="B30" s="377"/>
      <c r="C30" s="378"/>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7"/>
      <c r="BH30" s="377"/>
      <c r="BI30" s="377"/>
      <c r="BJ30" s="377"/>
      <c r="BK30" s="377"/>
      <c r="BL30" s="377"/>
    </row>
    <row r="31" spans="1:64" ht="16.2" thickBot="1">
      <c r="A31" s="88"/>
      <c r="B31" s="379"/>
      <c r="C31" s="380"/>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79"/>
      <c r="BF31" s="379"/>
      <c r="BG31" s="379"/>
      <c r="BH31" s="379"/>
      <c r="BI31" s="379"/>
      <c r="BJ31" s="379"/>
      <c r="BK31" s="379"/>
      <c r="BL31" s="379"/>
    </row>
    <row r="32" ht="15.75">
      <c r="B32" s="91"/>
    </row>
    <row r="33" ht="16.2" thickBot="1"/>
    <row r="34" spans="1:64" ht="48" customHeight="1">
      <c r="A34" s="98"/>
      <c r="B34" s="1608" t="s">
        <v>155</v>
      </c>
      <c r="C34" s="1603"/>
      <c r="D34" s="1599">
        <f>++D19</f>
        <v>2019</v>
      </c>
      <c r="E34" s="1597">
        <f>1+D34</f>
        <v>2020</v>
      </c>
      <c r="F34" s="1598"/>
      <c r="G34" s="1598"/>
      <c r="H34" s="1598"/>
      <c r="I34" s="1598"/>
      <c r="J34" s="1598"/>
      <c r="K34" s="1598"/>
      <c r="L34" s="1598"/>
      <c r="M34" s="1598"/>
      <c r="N34" s="1598"/>
      <c r="O34" s="1598"/>
      <c r="P34" s="1599"/>
      <c r="Q34" s="1597">
        <v>2020</v>
      </c>
      <c r="R34" s="1598"/>
      <c r="S34" s="1598"/>
      <c r="T34" s="1598"/>
      <c r="U34" s="1598"/>
      <c r="V34" s="1598"/>
      <c r="W34" s="1598"/>
      <c r="X34" s="1598"/>
      <c r="Y34" s="1598"/>
      <c r="Z34" s="1598"/>
      <c r="AA34" s="1598"/>
      <c r="AB34" s="1599"/>
      <c r="AC34" s="1597">
        <v>2021</v>
      </c>
      <c r="AD34" s="1598"/>
      <c r="AE34" s="1598"/>
      <c r="AF34" s="1598"/>
      <c r="AG34" s="1598"/>
      <c r="AH34" s="1598"/>
      <c r="AI34" s="1598"/>
      <c r="AJ34" s="1598"/>
      <c r="AK34" s="1598"/>
      <c r="AL34" s="1598"/>
      <c r="AM34" s="1598"/>
      <c r="AN34" s="1599"/>
      <c r="AO34" s="1597">
        <f>1+AC34</f>
        <v>2022</v>
      </c>
      <c r="AP34" s="1598"/>
      <c r="AQ34" s="1598"/>
      <c r="AR34" s="1598"/>
      <c r="AS34" s="1598"/>
      <c r="AT34" s="1598"/>
      <c r="AU34" s="1598"/>
      <c r="AV34" s="1598"/>
      <c r="AW34" s="1598"/>
      <c r="AX34" s="1598"/>
      <c r="AY34" s="1598"/>
      <c r="AZ34" s="1599"/>
      <c r="BA34" s="1597">
        <f>+BA19</f>
        <v>2024</v>
      </c>
      <c r="BB34" s="1598"/>
      <c r="BC34" s="1598"/>
      <c r="BD34" s="1598"/>
      <c r="BE34" s="1598"/>
      <c r="BF34" s="1598"/>
      <c r="BG34" s="1598"/>
      <c r="BH34" s="1598"/>
      <c r="BI34" s="1598"/>
      <c r="BJ34" s="1598"/>
      <c r="BK34" s="1598"/>
      <c r="BL34" s="1599"/>
    </row>
    <row r="35" spans="2:64" s="81" customFormat="1" ht="16.95" customHeight="1" thickBot="1">
      <c r="B35" s="1609"/>
      <c r="C35" s="1604"/>
      <c r="D35" s="1602"/>
      <c r="E35" s="1600"/>
      <c r="F35" s="1601"/>
      <c r="G35" s="1601"/>
      <c r="H35" s="1601"/>
      <c r="I35" s="1601"/>
      <c r="J35" s="1601"/>
      <c r="K35" s="1601"/>
      <c r="L35" s="1601"/>
      <c r="M35" s="1601"/>
      <c r="N35" s="1601"/>
      <c r="O35" s="1601"/>
      <c r="P35" s="1602"/>
      <c r="Q35" s="1600"/>
      <c r="R35" s="1601"/>
      <c r="S35" s="1601"/>
      <c r="T35" s="1601"/>
      <c r="U35" s="1601"/>
      <c r="V35" s="1601"/>
      <c r="W35" s="1601"/>
      <c r="X35" s="1601"/>
      <c r="Y35" s="1601"/>
      <c r="Z35" s="1601"/>
      <c r="AA35" s="1601"/>
      <c r="AB35" s="1602"/>
      <c r="AC35" s="1600"/>
      <c r="AD35" s="1601"/>
      <c r="AE35" s="1601"/>
      <c r="AF35" s="1601"/>
      <c r="AG35" s="1601"/>
      <c r="AH35" s="1601"/>
      <c r="AI35" s="1601"/>
      <c r="AJ35" s="1601"/>
      <c r="AK35" s="1601"/>
      <c r="AL35" s="1601"/>
      <c r="AM35" s="1601"/>
      <c r="AN35" s="1602"/>
      <c r="AO35" s="1600"/>
      <c r="AP35" s="1601"/>
      <c r="AQ35" s="1601"/>
      <c r="AR35" s="1601"/>
      <c r="AS35" s="1601"/>
      <c r="AT35" s="1601"/>
      <c r="AU35" s="1601"/>
      <c r="AV35" s="1601"/>
      <c r="AW35" s="1601"/>
      <c r="AX35" s="1601"/>
      <c r="AY35" s="1601"/>
      <c r="AZ35" s="1602"/>
      <c r="BA35" s="1600"/>
      <c r="BB35" s="1601"/>
      <c r="BC35" s="1601"/>
      <c r="BD35" s="1601"/>
      <c r="BE35" s="1601"/>
      <c r="BF35" s="1601"/>
      <c r="BG35" s="1601"/>
      <c r="BH35" s="1601"/>
      <c r="BI35" s="1601"/>
      <c r="BJ35" s="1601"/>
      <c r="BK35" s="1601"/>
      <c r="BL35" s="1602"/>
    </row>
    <row r="36" spans="2:64" s="367" customFormat="1" ht="21" customHeight="1" thickBot="1">
      <c r="B36" s="1609"/>
      <c r="C36" s="1605"/>
      <c r="D36" s="260"/>
      <c r="E36" s="261" t="s">
        <v>187</v>
      </c>
      <c r="F36" s="259" t="s">
        <v>188</v>
      </c>
      <c r="G36" s="259" t="s">
        <v>189</v>
      </c>
      <c r="H36" s="259" t="s">
        <v>190</v>
      </c>
      <c r="I36" s="259" t="s">
        <v>8</v>
      </c>
      <c r="J36" s="259" t="s">
        <v>191</v>
      </c>
      <c r="K36" s="259" t="s">
        <v>192</v>
      </c>
      <c r="L36" s="259" t="s">
        <v>193</v>
      </c>
      <c r="M36" s="259" t="s">
        <v>194</v>
      </c>
      <c r="N36" s="259" t="s">
        <v>195</v>
      </c>
      <c r="O36" s="259" t="s">
        <v>196</v>
      </c>
      <c r="P36" s="260" t="s">
        <v>197</v>
      </c>
      <c r="Q36" s="261" t="s">
        <v>187</v>
      </c>
      <c r="R36" s="259" t="s">
        <v>188</v>
      </c>
      <c r="S36" s="259" t="s">
        <v>189</v>
      </c>
      <c r="T36" s="259" t="s">
        <v>190</v>
      </c>
      <c r="U36" s="259" t="s">
        <v>8</v>
      </c>
      <c r="V36" s="259" t="s">
        <v>191</v>
      </c>
      <c r="W36" s="259" t="s">
        <v>192</v>
      </c>
      <c r="X36" s="259" t="s">
        <v>193</v>
      </c>
      <c r="Y36" s="259" t="s">
        <v>194</v>
      </c>
      <c r="Z36" s="259" t="s">
        <v>195</v>
      </c>
      <c r="AA36" s="259" t="s">
        <v>196</v>
      </c>
      <c r="AB36" s="260" t="s">
        <v>197</v>
      </c>
      <c r="AC36" s="261" t="s">
        <v>187</v>
      </c>
      <c r="AD36" s="259" t="s">
        <v>188</v>
      </c>
      <c r="AE36" s="259" t="s">
        <v>189</v>
      </c>
      <c r="AF36" s="259" t="s">
        <v>190</v>
      </c>
      <c r="AG36" s="259" t="s">
        <v>8</v>
      </c>
      <c r="AH36" s="259" t="s">
        <v>191</v>
      </c>
      <c r="AI36" s="259" t="s">
        <v>192</v>
      </c>
      <c r="AJ36" s="259" t="s">
        <v>193</v>
      </c>
      <c r="AK36" s="259" t="s">
        <v>194</v>
      </c>
      <c r="AL36" s="259" t="s">
        <v>195</v>
      </c>
      <c r="AM36" s="259" t="s">
        <v>196</v>
      </c>
      <c r="AN36" s="260" t="s">
        <v>197</v>
      </c>
      <c r="AO36" s="261" t="s">
        <v>187</v>
      </c>
      <c r="AP36" s="259" t="s">
        <v>188</v>
      </c>
      <c r="AQ36" s="259" t="s">
        <v>189</v>
      </c>
      <c r="AR36" s="259" t="s">
        <v>190</v>
      </c>
      <c r="AS36" s="259" t="s">
        <v>8</v>
      </c>
      <c r="AT36" s="259" t="s">
        <v>191</v>
      </c>
      <c r="AU36" s="259" t="s">
        <v>192</v>
      </c>
      <c r="AV36" s="259" t="s">
        <v>193</v>
      </c>
      <c r="AW36" s="259" t="s">
        <v>194</v>
      </c>
      <c r="AX36" s="259" t="s">
        <v>195</v>
      </c>
      <c r="AY36" s="259" t="s">
        <v>196</v>
      </c>
      <c r="AZ36" s="260" t="s">
        <v>197</v>
      </c>
      <c r="BA36" s="261" t="s">
        <v>187</v>
      </c>
      <c r="BB36" s="259" t="s">
        <v>188</v>
      </c>
      <c r="BC36" s="259" t="s">
        <v>189</v>
      </c>
      <c r="BD36" s="259" t="s">
        <v>190</v>
      </c>
      <c r="BE36" s="259" t="s">
        <v>8</v>
      </c>
      <c r="BF36" s="259" t="s">
        <v>191</v>
      </c>
      <c r="BG36" s="259" t="s">
        <v>192</v>
      </c>
      <c r="BH36" s="259" t="s">
        <v>193</v>
      </c>
      <c r="BI36" s="259" t="s">
        <v>194</v>
      </c>
      <c r="BJ36" s="259" t="s">
        <v>195</v>
      </c>
      <c r="BK36" s="259" t="s">
        <v>196</v>
      </c>
      <c r="BL36" s="260" t="s">
        <v>197</v>
      </c>
    </row>
    <row r="37" spans="1:64" ht="15.75">
      <c r="A37" s="82"/>
      <c r="B37" s="637" t="s">
        <v>206</v>
      </c>
      <c r="C37" s="370"/>
      <c r="D37" s="85">
        <f>SUM(D38:D44)</f>
        <v>0</v>
      </c>
      <c r="E37" s="83">
        <f aca="true" t="shared" si="17" ref="E37:BK37">SUM(E38:E44)</f>
        <v>0</v>
      </c>
      <c r="F37" s="84">
        <f t="shared" si="17"/>
        <v>0</v>
      </c>
      <c r="G37" s="84">
        <f t="shared" si="17"/>
        <v>0</v>
      </c>
      <c r="H37" s="84">
        <f t="shared" si="17"/>
        <v>0</v>
      </c>
      <c r="I37" s="84">
        <f t="shared" si="17"/>
        <v>0</v>
      </c>
      <c r="J37" s="84">
        <f t="shared" si="17"/>
        <v>0</v>
      </c>
      <c r="K37" s="84">
        <f t="shared" si="17"/>
        <v>0</v>
      </c>
      <c r="L37" s="84">
        <f t="shared" si="17"/>
        <v>0</v>
      </c>
      <c r="M37" s="84">
        <f t="shared" si="17"/>
        <v>0</v>
      </c>
      <c r="N37" s="84">
        <f t="shared" si="17"/>
        <v>0</v>
      </c>
      <c r="O37" s="84">
        <f t="shared" si="17"/>
        <v>0</v>
      </c>
      <c r="P37" s="85">
        <f t="shared" si="17"/>
        <v>0</v>
      </c>
      <c r="Q37" s="83">
        <f t="shared" si="17"/>
        <v>0</v>
      </c>
      <c r="R37" s="84">
        <f t="shared" si="17"/>
        <v>0</v>
      </c>
      <c r="S37" s="84">
        <f t="shared" si="17"/>
        <v>0</v>
      </c>
      <c r="T37" s="84">
        <f t="shared" si="17"/>
        <v>0</v>
      </c>
      <c r="U37" s="84">
        <f t="shared" si="17"/>
        <v>0</v>
      </c>
      <c r="V37" s="84">
        <f t="shared" si="17"/>
        <v>0</v>
      </c>
      <c r="W37" s="84">
        <f t="shared" si="17"/>
        <v>0</v>
      </c>
      <c r="X37" s="84">
        <f t="shared" si="17"/>
        <v>0</v>
      </c>
      <c r="Y37" s="84">
        <f t="shared" si="17"/>
        <v>0</v>
      </c>
      <c r="Z37" s="84">
        <f t="shared" si="17"/>
        <v>0</v>
      </c>
      <c r="AA37" s="84">
        <f t="shared" si="17"/>
        <v>0</v>
      </c>
      <c r="AB37" s="85">
        <f t="shared" si="17"/>
        <v>0</v>
      </c>
      <c r="AC37" s="83">
        <f t="shared" si="17"/>
        <v>0</v>
      </c>
      <c r="AD37" s="84">
        <f t="shared" si="17"/>
        <v>0</v>
      </c>
      <c r="AE37" s="84">
        <f t="shared" si="17"/>
        <v>0</v>
      </c>
      <c r="AF37" s="84">
        <f t="shared" si="17"/>
        <v>0</v>
      </c>
      <c r="AG37" s="84">
        <f t="shared" si="17"/>
        <v>0</v>
      </c>
      <c r="AH37" s="84">
        <f t="shared" si="17"/>
        <v>0</v>
      </c>
      <c r="AI37" s="84">
        <f t="shared" si="17"/>
        <v>0</v>
      </c>
      <c r="AJ37" s="84">
        <f t="shared" si="17"/>
        <v>0</v>
      </c>
      <c r="AK37" s="84">
        <f t="shared" si="17"/>
        <v>0</v>
      </c>
      <c r="AL37" s="84">
        <f t="shared" si="17"/>
        <v>0</v>
      </c>
      <c r="AM37" s="84">
        <f t="shared" si="17"/>
        <v>0</v>
      </c>
      <c r="AN37" s="85">
        <f t="shared" si="17"/>
        <v>0</v>
      </c>
      <c r="AO37" s="83">
        <f t="shared" si="17"/>
        <v>0</v>
      </c>
      <c r="AP37" s="84">
        <f t="shared" si="17"/>
        <v>0</v>
      </c>
      <c r="AQ37" s="84">
        <f t="shared" si="17"/>
        <v>0</v>
      </c>
      <c r="AR37" s="84">
        <f t="shared" si="17"/>
        <v>0</v>
      </c>
      <c r="AS37" s="84">
        <f t="shared" si="17"/>
        <v>0</v>
      </c>
      <c r="AT37" s="84">
        <f t="shared" si="17"/>
        <v>0</v>
      </c>
      <c r="AU37" s="84">
        <f t="shared" si="17"/>
        <v>0</v>
      </c>
      <c r="AV37" s="84">
        <f t="shared" si="17"/>
        <v>0</v>
      </c>
      <c r="AW37" s="84">
        <f t="shared" si="17"/>
        <v>0</v>
      </c>
      <c r="AX37" s="84">
        <f t="shared" si="17"/>
        <v>0</v>
      </c>
      <c r="AY37" s="84">
        <f t="shared" si="17"/>
        <v>0</v>
      </c>
      <c r="AZ37" s="85">
        <f t="shared" si="17"/>
        <v>0</v>
      </c>
      <c r="BA37" s="83">
        <f>SUM(BA38:BA44)</f>
        <v>0</v>
      </c>
      <c r="BB37" s="84">
        <f t="shared" si="17"/>
        <v>0</v>
      </c>
      <c r="BC37" s="84">
        <f t="shared" si="17"/>
        <v>0</v>
      </c>
      <c r="BD37" s="84">
        <f t="shared" si="17"/>
        <v>0</v>
      </c>
      <c r="BE37" s="84">
        <f t="shared" si="17"/>
        <v>0</v>
      </c>
      <c r="BF37" s="84">
        <f>SUM(BF38:BF44)</f>
        <v>0</v>
      </c>
      <c r="BG37" s="84">
        <f t="shared" si="17"/>
        <v>0</v>
      </c>
      <c r="BH37" s="84">
        <f t="shared" si="17"/>
        <v>0</v>
      </c>
      <c r="BI37" s="84">
        <f t="shared" si="17"/>
        <v>0</v>
      </c>
      <c r="BJ37" s="84">
        <f t="shared" si="17"/>
        <v>0</v>
      </c>
      <c r="BK37" s="84">
        <f t="shared" si="17"/>
        <v>0</v>
      </c>
      <c r="BL37" s="85">
        <f>SUM(BL38:BL44)</f>
        <v>0</v>
      </c>
    </row>
    <row r="38" spans="1:64" s="807" customFormat="1" ht="15.75">
      <c r="A38" s="82"/>
      <c r="B38" s="86" t="s">
        <v>283</v>
      </c>
      <c r="C38" s="640"/>
      <c r="D38" s="804"/>
      <c r="E38" s="805"/>
      <c r="F38" s="806"/>
      <c r="G38" s="806"/>
      <c r="H38" s="806"/>
      <c r="I38" s="806"/>
      <c r="J38" s="806"/>
      <c r="K38" s="806"/>
      <c r="L38" s="806"/>
      <c r="M38" s="806"/>
      <c r="N38" s="806"/>
      <c r="O38" s="806"/>
      <c r="P38" s="804"/>
      <c r="Q38" s="805"/>
      <c r="R38" s="806"/>
      <c r="S38" s="806"/>
      <c r="T38" s="806"/>
      <c r="U38" s="806"/>
      <c r="V38" s="806"/>
      <c r="W38" s="806"/>
      <c r="X38" s="806"/>
      <c r="Y38" s="806"/>
      <c r="Z38" s="806"/>
      <c r="AA38" s="806"/>
      <c r="AB38" s="804"/>
      <c r="AC38" s="805"/>
      <c r="AD38" s="806"/>
      <c r="AE38" s="806"/>
      <c r="AF38" s="806"/>
      <c r="AG38" s="806"/>
      <c r="AH38" s="806"/>
      <c r="AI38" s="806"/>
      <c r="AJ38" s="806"/>
      <c r="AK38" s="806"/>
      <c r="AL38" s="806"/>
      <c r="AM38" s="806"/>
      <c r="AN38" s="804"/>
      <c r="AO38" s="805"/>
      <c r="AP38" s="806"/>
      <c r="AQ38" s="806"/>
      <c r="AR38" s="806"/>
      <c r="AS38" s="806"/>
      <c r="AT38" s="806"/>
      <c r="AU38" s="806"/>
      <c r="AV38" s="806"/>
      <c r="AW38" s="806"/>
      <c r="AX38" s="806"/>
      <c r="AY38" s="806"/>
      <c r="AZ38" s="804"/>
      <c r="BA38" s="805"/>
      <c r="BB38" s="806"/>
      <c r="BC38" s="806"/>
      <c r="BD38" s="806"/>
      <c r="BE38" s="806"/>
      <c r="BF38" s="806"/>
      <c r="BG38" s="806"/>
      <c r="BH38" s="806"/>
      <c r="BI38" s="806"/>
      <c r="BJ38" s="806"/>
      <c r="BK38" s="806"/>
      <c r="BL38" s="804"/>
    </row>
    <row r="39" spans="1:64" s="807" customFormat="1" ht="15.75">
      <c r="A39" s="82"/>
      <c r="B39" s="86" t="s">
        <v>282</v>
      </c>
      <c r="C39" s="374"/>
      <c r="D39" s="808"/>
      <c r="E39" s="805"/>
      <c r="F39" s="806"/>
      <c r="G39" s="806"/>
      <c r="H39" s="806"/>
      <c r="I39" s="806"/>
      <c r="J39" s="806"/>
      <c r="K39" s="806"/>
      <c r="L39" s="806"/>
      <c r="M39" s="806"/>
      <c r="N39" s="806"/>
      <c r="O39" s="806"/>
      <c r="P39" s="804"/>
      <c r="Q39" s="805"/>
      <c r="R39" s="806"/>
      <c r="S39" s="806"/>
      <c r="T39" s="806"/>
      <c r="U39" s="806"/>
      <c r="V39" s="806"/>
      <c r="W39" s="806"/>
      <c r="X39" s="806"/>
      <c r="Y39" s="806"/>
      <c r="Z39" s="806"/>
      <c r="AA39" s="806"/>
      <c r="AB39" s="804"/>
      <c r="AC39" s="805"/>
      <c r="AD39" s="806"/>
      <c r="AE39" s="806"/>
      <c r="AF39" s="806"/>
      <c r="AG39" s="806"/>
      <c r="AH39" s="806"/>
      <c r="AI39" s="806"/>
      <c r="AJ39" s="806"/>
      <c r="AK39" s="806"/>
      <c r="AL39" s="806"/>
      <c r="AM39" s="806"/>
      <c r="AN39" s="804"/>
      <c r="AO39" s="805"/>
      <c r="AP39" s="806"/>
      <c r="AQ39" s="806"/>
      <c r="AR39" s="806"/>
      <c r="AS39" s="806"/>
      <c r="AT39" s="806"/>
      <c r="AU39" s="806"/>
      <c r="AV39" s="806"/>
      <c r="AW39" s="806"/>
      <c r="AX39" s="806"/>
      <c r="AY39" s="806"/>
      <c r="AZ39" s="804"/>
      <c r="BA39" s="805"/>
      <c r="BB39" s="806"/>
      <c r="BC39" s="806"/>
      <c r="BD39" s="806"/>
      <c r="BE39" s="806"/>
      <c r="BF39" s="806"/>
      <c r="BG39" s="806"/>
      <c r="BH39" s="806"/>
      <c r="BI39" s="806"/>
      <c r="BJ39" s="806"/>
      <c r="BK39" s="806"/>
      <c r="BL39" s="804"/>
    </row>
    <row r="40" spans="1:64" s="807" customFormat="1" ht="15.75">
      <c r="A40" s="82"/>
      <c r="B40" s="86" t="s">
        <v>285</v>
      </c>
      <c r="C40" s="374"/>
      <c r="D40" s="808"/>
      <c r="E40" s="805"/>
      <c r="F40" s="806"/>
      <c r="G40" s="806"/>
      <c r="H40" s="806"/>
      <c r="I40" s="806"/>
      <c r="J40" s="806"/>
      <c r="K40" s="806"/>
      <c r="L40" s="806"/>
      <c r="M40" s="806"/>
      <c r="N40" s="806"/>
      <c r="O40" s="806"/>
      <c r="P40" s="804"/>
      <c r="Q40" s="805"/>
      <c r="R40" s="806"/>
      <c r="S40" s="806"/>
      <c r="T40" s="806"/>
      <c r="U40" s="806"/>
      <c r="V40" s="806"/>
      <c r="W40" s="806"/>
      <c r="X40" s="806"/>
      <c r="Y40" s="806"/>
      <c r="Z40" s="806"/>
      <c r="AA40" s="806"/>
      <c r="AB40" s="804"/>
      <c r="AC40" s="805"/>
      <c r="AD40" s="809"/>
      <c r="AE40" s="809"/>
      <c r="AF40" s="809"/>
      <c r="AG40" s="806"/>
      <c r="AH40" s="806"/>
      <c r="AI40" s="806"/>
      <c r="AJ40" s="806"/>
      <c r="AK40" s="806"/>
      <c r="AL40" s="806"/>
      <c r="AM40" s="806"/>
      <c r="AN40" s="804"/>
      <c r="AO40" s="805"/>
      <c r="AP40" s="806"/>
      <c r="AQ40" s="806"/>
      <c r="AR40" s="806"/>
      <c r="AS40" s="806"/>
      <c r="AT40" s="806"/>
      <c r="AU40" s="806"/>
      <c r="AV40" s="806"/>
      <c r="AW40" s="806"/>
      <c r="AX40" s="806"/>
      <c r="AY40" s="806"/>
      <c r="AZ40" s="804"/>
      <c r="BA40" s="805"/>
      <c r="BB40" s="806"/>
      <c r="BC40" s="806"/>
      <c r="BD40" s="806"/>
      <c r="BE40" s="806"/>
      <c r="BF40" s="806"/>
      <c r="BG40" s="806"/>
      <c r="BH40" s="806"/>
      <c r="BI40" s="806"/>
      <c r="BJ40" s="806"/>
      <c r="BK40" s="806"/>
      <c r="BL40" s="804"/>
    </row>
    <row r="41" spans="1:64" s="807" customFormat="1" ht="16.05" customHeight="1">
      <c r="A41" s="82"/>
      <c r="B41" s="273" t="s">
        <v>287</v>
      </c>
      <c r="C41" s="373"/>
      <c r="D41" s="804"/>
      <c r="E41" s="805"/>
      <c r="F41" s="806"/>
      <c r="G41" s="806"/>
      <c r="H41" s="806"/>
      <c r="I41" s="806"/>
      <c r="J41" s="806"/>
      <c r="K41" s="806"/>
      <c r="L41" s="806"/>
      <c r="M41" s="806"/>
      <c r="N41" s="810"/>
      <c r="O41" s="806"/>
      <c r="P41" s="804"/>
      <c r="Q41" s="805"/>
      <c r="R41" s="806"/>
      <c r="S41" s="806"/>
      <c r="T41" s="806"/>
      <c r="U41" s="806"/>
      <c r="V41" s="806"/>
      <c r="W41" s="806"/>
      <c r="X41" s="806"/>
      <c r="Y41" s="806"/>
      <c r="Z41" s="810"/>
      <c r="AA41" s="806"/>
      <c r="AB41" s="804"/>
      <c r="AC41" s="805"/>
      <c r="AD41" s="809"/>
      <c r="AE41" s="809"/>
      <c r="AF41" s="809"/>
      <c r="AG41" s="809"/>
      <c r="AH41" s="809"/>
      <c r="AI41" s="809"/>
      <c r="AJ41" s="809"/>
      <c r="AK41" s="809"/>
      <c r="AL41" s="810"/>
      <c r="AM41" s="809"/>
      <c r="AN41" s="812"/>
      <c r="AO41" s="813"/>
      <c r="AP41" s="809"/>
      <c r="AQ41" s="809"/>
      <c r="AR41" s="809"/>
      <c r="AS41" s="809"/>
      <c r="AT41" s="809"/>
      <c r="AU41" s="809"/>
      <c r="AV41" s="809"/>
      <c r="AW41" s="806"/>
      <c r="AX41" s="806"/>
      <c r="AY41" s="806"/>
      <c r="AZ41" s="804"/>
      <c r="BA41" s="805"/>
      <c r="BB41" s="806"/>
      <c r="BC41" s="806"/>
      <c r="BD41" s="806"/>
      <c r="BE41" s="806"/>
      <c r="BF41" s="806"/>
      <c r="BG41" s="806"/>
      <c r="BH41" s="806"/>
      <c r="BI41" s="806"/>
      <c r="BJ41" s="806"/>
      <c r="BK41" s="806"/>
      <c r="BL41" s="804"/>
    </row>
    <row r="42" spans="1:64" s="807" customFormat="1" ht="16.05" customHeight="1">
      <c r="A42" s="82"/>
      <c r="B42" s="273"/>
      <c r="C42" s="374"/>
      <c r="D42" s="814"/>
      <c r="E42" s="815"/>
      <c r="F42" s="810"/>
      <c r="G42" s="810"/>
      <c r="H42" s="810"/>
      <c r="I42" s="810"/>
      <c r="J42" s="810"/>
      <c r="K42" s="810"/>
      <c r="L42" s="810"/>
      <c r="M42" s="810"/>
      <c r="N42" s="806"/>
      <c r="O42" s="810"/>
      <c r="P42" s="814"/>
      <c r="Q42" s="815"/>
      <c r="R42" s="810"/>
      <c r="S42" s="810"/>
      <c r="T42" s="810"/>
      <c r="U42" s="810"/>
      <c r="V42" s="810"/>
      <c r="W42" s="810"/>
      <c r="X42" s="810"/>
      <c r="Y42" s="810"/>
      <c r="Z42" s="806"/>
      <c r="AA42" s="810"/>
      <c r="AB42" s="814"/>
      <c r="AC42" s="815"/>
      <c r="AD42" s="811"/>
      <c r="AE42" s="811"/>
      <c r="AF42" s="811"/>
      <c r="AG42" s="811"/>
      <c r="AH42" s="811"/>
      <c r="AI42" s="811"/>
      <c r="AJ42" s="811"/>
      <c r="AK42" s="811"/>
      <c r="AL42" s="806"/>
      <c r="AM42" s="811"/>
      <c r="AN42" s="816"/>
      <c r="AO42" s="817"/>
      <c r="AP42" s="811"/>
      <c r="AQ42" s="811"/>
      <c r="AR42" s="811"/>
      <c r="AS42" s="811"/>
      <c r="AT42" s="811"/>
      <c r="AU42" s="811"/>
      <c r="AV42" s="811"/>
      <c r="AW42" s="811"/>
      <c r="AX42" s="806"/>
      <c r="AY42" s="811"/>
      <c r="AZ42" s="816"/>
      <c r="BA42" s="817"/>
      <c r="BB42" s="811"/>
      <c r="BC42" s="811"/>
      <c r="BD42" s="811"/>
      <c r="BE42" s="811"/>
      <c r="BF42" s="811"/>
      <c r="BG42" s="811"/>
      <c r="BH42" s="811"/>
      <c r="BI42" s="811"/>
      <c r="BJ42" s="806"/>
      <c r="BK42" s="811"/>
      <c r="BL42" s="816"/>
    </row>
    <row r="43" spans="1:64" s="818" customFormat="1" ht="15.75">
      <c r="A43" s="93"/>
      <c r="B43" s="638" t="s">
        <v>293</v>
      </c>
      <c r="C43" s="373"/>
      <c r="D43" s="814"/>
      <c r="E43" s="815"/>
      <c r="F43" s="810"/>
      <c r="G43" s="810"/>
      <c r="H43" s="810"/>
      <c r="I43" s="810"/>
      <c r="J43" s="810"/>
      <c r="K43" s="810"/>
      <c r="L43" s="810"/>
      <c r="M43" s="810"/>
      <c r="N43" s="810"/>
      <c r="O43" s="810"/>
      <c r="P43" s="814"/>
      <c r="Q43" s="815"/>
      <c r="R43" s="810"/>
      <c r="S43" s="810"/>
      <c r="T43" s="810"/>
      <c r="U43" s="810"/>
      <c r="V43" s="810"/>
      <c r="W43" s="810"/>
      <c r="X43" s="810"/>
      <c r="Y43" s="810"/>
      <c r="Z43" s="810"/>
      <c r="AA43" s="810"/>
      <c r="AB43" s="814"/>
      <c r="AC43" s="815"/>
      <c r="AD43" s="811"/>
      <c r="AE43" s="811"/>
      <c r="AF43" s="811"/>
      <c r="AG43" s="811"/>
      <c r="AH43" s="811"/>
      <c r="AI43" s="811"/>
      <c r="AJ43" s="811"/>
      <c r="AK43" s="811"/>
      <c r="AL43" s="811"/>
      <c r="AM43" s="811"/>
      <c r="AN43" s="816"/>
      <c r="AO43" s="817"/>
      <c r="AP43" s="811"/>
      <c r="AQ43" s="811"/>
      <c r="AR43" s="811"/>
      <c r="AS43" s="811"/>
      <c r="AT43" s="811"/>
      <c r="AU43" s="811"/>
      <c r="AV43" s="811"/>
      <c r="AW43" s="811"/>
      <c r="AX43" s="811"/>
      <c r="AY43" s="811"/>
      <c r="AZ43" s="816"/>
      <c r="BA43" s="817"/>
      <c r="BB43" s="811"/>
      <c r="BC43" s="811"/>
      <c r="BD43" s="811"/>
      <c r="BE43" s="811"/>
      <c r="BF43" s="811"/>
      <c r="BG43" s="811"/>
      <c r="BH43" s="811"/>
      <c r="BI43" s="811"/>
      <c r="BJ43" s="811"/>
      <c r="BK43" s="811"/>
      <c r="BL43" s="816"/>
    </row>
    <row r="44" spans="1:64" s="807" customFormat="1" ht="16.2" thickBot="1">
      <c r="A44" s="82"/>
      <c r="B44" s="639"/>
      <c r="C44" s="641"/>
      <c r="D44" s="819"/>
      <c r="E44" s="820"/>
      <c r="F44" s="821"/>
      <c r="G44" s="821"/>
      <c r="H44" s="821"/>
      <c r="I44" s="821"/>
      <c r="J44" s="821"/>
      <c r="K44" s="821"/>
      <c r="L44" s="821"/>
      <c r="M44" s="821"/>
      <c r="N44" s="821"/>
      <c r="O44" s="821"/>
      <c r="P44" s="819"/>
      <c r="Q44" s="820"/>
      <c r="R44" s="821"/>
      <c r="S44" s="821"/>
      <c r="T44" s="821"/>
      <c r="U44" s="821"/>
      <c r="V44" s="821"/>
      <c r="W44" s="821"/>
      <c r="X44" s="821"/>
      <c r="Y44" s="821"/>
      <c r="Z44" s="821"/>
      <c r="AA44" s="821"/>
      <c r="AB44" s="819"/>
      <c r="AC44" s="820"/>
      <c r="AD44" s="822"/>
      <c r="AE44" s="822"/>
      <c r="AF44" s="822"/>
      <c r="AG44" s="822"/>
      <c r="AH44" s="822"/>
      <c r="AI44" s="822"/>
      <c r="AJ44" s="822"/>
      <c r="AK44" s="822"/>
      <c r="AL44" s="822"/>
      <c r="AM44" s="822"/>
      <c r="AN44" s="823"/>
      <c r="AO44" s="824"/>
      <c r="AP44" s="822"/>
      <c r="AQ44" s="822"/>
      <c r="AR44" s="822"/>
      <c r="AS44" s="822"/>
      <c r="AT44" s="822"/>
      <c r="AU44" s="822"/>
      <c r="AV44" s="822"/>
      <c r="AW44" s="822"/>
      <c r="AX44" s="822"/>
      <c r="AY44" s="822"/>
      <c r="AZ44" s="823"/>
      <c r="BA44" s="824"/>
      <c r="BB44" s="822"/>
      <c r="BC44" s="822"/>
      <c r="BD44" s="822"/>
      <c r="BE44" s="822"/>
      <c r="BF44" s="822"/>
      <c r="BG44" s="822"/>
      <c r="BH44" s="822"/>
      <c r="BI44" s="822"/>
      <c r="BJ44" s="822"/>
      <c r="BK44" s="822"/>
      <c r="BL44" s="823"/>
    </row>
    <row r="45" spans="1:64" ht="15.75">
      <c r="A45" s="82"/>
      <c r="B45" s="270"/>
      <c r="C45" s="372"/>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row>
    <row r="46" spans="1:64" ht="15.75">
      <c r="A46" s="82"/>
      <c r="B46" s="82"/>
      <c r="C46" s="369"/>
      <c r="D46" s="82"/>
      <c r="E46" s="82"/>
      <c r="F46" s="830"/>
      <c r="G46" s="83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row>
    <row r="47" spans="1:64" ht="16.2" thickBot="1">
      <c r="A47" s="82"/>
      <c r="B47" s="82"/>
      <c r="C47" s="369"/>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row>
    <row r="48" spans="1:64" ht="48" customHeight="1">
      <c r="A48" s="98"/>
      <c r="B48" s="1603" t="s">
        <v>156</v>
      </c>
      <c r="C48" s="1603" t="s">
        <v>203</v>
      </c>
      <c r="D48" s="1599">
        <f>D34</f>
        <v>2019</v>
      </c>
      <c r="E48" s="1597">
        <v>2019</v>
      </c>
      <c r="F48" s="1598"/>
      <c r="G48" s="1598"/>
      <c r="H48" s="1598"/>
      <c r="I48" s="1598"/>
      <c r="J48" s="1598"/>
      <c r="K48" s="1598"/>
      <c r="L48" s="1598"/>
      <c r="M48" s="1598"/>
      <c r="N48" s="1598"/>
      <c r="O48" s="1598"/>
      <c r="P48" s="1599"/>
      <c r="Q48" s="1597">
        <v>2020</v>
      </c>
      <c r="R48" s="1598"/>
      <c r="S48" s="1598"/>
      <c r="T48" s="1598"/>
      <c r="U48" s="1598"/>
      <c r="V48" s="1598"/>
      <c r="W48" s="1598"/>
      <c r="X48" s="1598"/>
      <c r="Y48" s="1598"/>
      <c r="Z48" s="1598"/>
      <c r="AA48" s="1598"/>
      <c r="AB48" s="1599"/>
      <c r="AC48" s="1597">
        <v>2021</v>
      </c>
      <c r="AD48" s="1598"/>
      <c r="AE48" s="1598"/>
      <c r="AF48" s="1598"/>
      <c r="AG48" s="1598"/>
      <c r="AH48" s="1598"/>
      <c r="AI48" s="1598"/>
      <c r="AJ48" s="1598"/>
      <c r="AK48" s="1598"/>
      <c r="AL48" s="1598"/>
      <c r="AM48" s="1598"/>
      <c r="AN48" s="1599"/>
      <c r="AO48" s="1597">
        <v>2022</v>
      </c>
      <c r="AP48" s="1598"/>
      <c r="AQ48" s="1598"/>
      <c r="AR48" s="1598"/>
      <c r="AS48" s="1598"/>
      <c r="AT48" s="1598"/>
      <c r="AU48" s="1598"/>
      <c r="AV48" s="1598"/>
      <c r="AW48" s="1598"/>
      <c r="AX48" s="1598"/>
      <c r="AY48" s="1598"/>
      <c r="AZ48" s="1599"/>
      <c r="BA48" s="1597">
        <f>+BA34</f>
        <v>2024</v>
      </c>
      <c r="BB48" s="1598"/>
      <c r="BC48" s="1598"/>
      <c r="BD48" s="1598"/>
      <c r="BE48" s="1598"/>
      <c r="BF48" s="1598"/>
      <c r="BG48" s="1598"/>
      <c r="BH48" s="1598"/>
      <c r="BI48" s="1598"/>
      <c r="BJ48" s="1598"/>
      <c r="BK48" s="1598"/>
      <c r="BL48" s="1599"/>
    </row>
    <row r="49" spans="1:64" ht="16.95" customHeight="1" thickBot="1">
      <c r="A49" s="98"/>
      <c r="B49" s="1604"/>
      <c r="C49" s="1604"/>
      <c r="D49" s="1602"/>
      <c r="E49" s="1600"/>
      <c r="F49" s="1601"/>
      <c r="G49" s="1601"/>
      <c r="H49" s="1601"/>
      <c r="I49" s="1601"/>
      <c r="J49" s="1601"/>
      <c r="K49" s="1601"/>
      <c r="L49" s="1601"/>
      <c r="M49" s="1601"/>
      <c r="N49" s="1601"/>
      <c r="O49" s="1601"/>
      <c r="P49" s="1602"/>
      <c r="Q49" s="1600"/>
      <c r="R49" s="1601"/>
      <c r="S49" s="1601"/>
      <c r="T49" s="1601"/>
      <c r="U49" s="1601"/>
      <c r="V49" s="1601"/>
      <c r="W49" s="1601"/>
      <c r="X49" s="1601"/>
      <c r="Y49" s="1601"/>
      <c r="Z49" s="1601"/>
      <c r="AA49" s="1601"/>
      <c r="AB49" s="1602"/>
      <c r="AC49" s="1600"/>
      <c r="AD49" s="1601"/>
      <c r="AE49" s="1601"/>
      <c r="AF49" s="1601"/>
      <c r="AG49" s="1601"/>
      <c r="AH49" s="1601"/>
      <c r="AI49" s="1601"/>
      <c r="AJ49" s="1601"/>
      <c r="AK49" s="1601"/>
      <c r="AL49" s="1601"/>
      <c r="AM49" s="1601"/>
      <c r="AN49" s="1602"/>
      <c r="AO49" s="1600"/>
      <c r="AP49" s="1601"/>
      <c r="AQ49" s="1601"/>
      <c r="AR49" s="1601"/>
      <c r="AS49" s="1601"/>
      <c r="AT49" s="1601"/>
      <c r="AU49" s="1601"/>
      <c r="AV49" s="1601"/>
      <c r="AW49" s="1601"/>
      <c r="AX49" s="1601"/>
      <c r="AY49" s="1601"/>
      <c r="AZ49" s="1602"/>
      <c r="BA49" s="1600"/>
      <c r="BB49" s="1601"/>
      <c r="BC49" s="1601"/>
      <c r="BD49" s="1601"/>
      <c r="BE49" s="1601"/>
      <c r="BF49" s="1601"/>
      <c r="BG49" s="1601"/>
      <c r="BH49" s="1601"/>
      <c r="BI49" s="1601"/>
      <c r="BJ49" s="1601"/>
      <c r="BK49" s="1601"/>
      <c r="BL49" s="1602"/>
    </row>
    <row r="50" spans="1:64" s="101" customFormat="1" ht="21" customHeight="1" thickBot="1">
      <c r="A50" s="98"/>
      <c r="B50" s="1604"/>
      <c r="C50" s="1605"/>
      <c r="D50" s="260"/>
      <c r="E50" s="261" t="s">
        <v>187</v>
      </c>
      <c r="F50" s="259" t="s">
        <v>188</v>
      </c>
      <c r="G50" s="259" t="s">
        <v>189</v>
      </c>
      <c r="H50" s="259" t="s">
        <v>190</v>
      </c>
      <c r="I50" s="259" t="s">
        <v>8</v>
      </c>
      <c r="J50" s="259" t="s">
        <v>191</v>
      </c>
      <c r="K50" s="259" t="s">
        <v>192</v>
      </c>
      <c r="L50" s="259" t="s">
        <v>193</v>
      </c>
      <c r="M50" s="259" t="s">
        <v>194</v>
      </c>
      <c r="N50" s="259" t="s">
        <v>195</v>
      </c>
      <c r="O50" s="259" t="s">
        <v>196</v>
      </c>
      <c r="P50" s="260" t="s">
        <v>197</v>
      </c>
      <c r="Q50" s="261" t="s">
        <v>187</v>
      </c>
      <c r="R50" s="259" t="s">
        <v>188</v>
      </c>
      <c r="S50" s="259" t="s">
        <v>189</v>
      </c>
      <c r="T50" s="259" t="s">
        <v>190</v>
      </c>
      <c r="U50" s="259" t="s">
        <v>8</v>
      </c>
      <c r="V50" s="259" t="s">
        <v>191</v>
      </c>
      <c r="W50" s="259" t="s">
        <v>192</v>
      </c>
      <c r="X50" s="259" t="s">
        <v>193</v>
      </c>
      <c r="Y50" s="259" t="s">
        <v>194</v>
      </c>
      <c r="Z50" s="259" t="s">
        <v>195</v>
      </c>
      <c r="AA50" s="259" t="s">
        <v>196</v>
      </c>
      <c r="AB50" s="260" t="s">
        <v>197</v>
      </c>
      <c r="AC50" s="261" t="s">
        <v>187</v>
      </c>
      <c r="AD50" s="259" t="s">
        <v>188</v>
      </c>
      <c r="AE50" s="259" t="s">
        <v>189</v>
      </c>
      <c r="AF50" s="259" t="s">
        <v>190</v>
      </c>
      <c r="AG50" s="259" t="s">
        <v>8</v>
      </c>
      <c r="AH50" s="259" t="s">
        <v>191</v>
      </c>
      <c r="AI50" s="259" t="s">
        <v>192</v>
      </c>
      <c r="AJ50" s="259" t="s">
        <v>193</v>
      </c>
      <c r="AK50" s="259" t="s">
        <v>194</v>
      </c>
      <c r="AL50" s="259" t="s">
        <v>195</v>
      </c>
      <c r="AM50" s="259" t="s">
        <v>196</v>
      </c>
      <c r="AN50" s="260" t="s">
        <v>197</v>
      </c>
      <c r="AO50" s="261" t="s">
        <v>187</v>
      </c>
      <c r="AP50" s="259" t="s">
        <v>188</v>
      </c>
      <c r="AQ50" s="259" t="s">
        <v>189</v>
      </c>
      <c r="AR50" s="259" t="s">
        <v>190</v>
      </c>
      <c r="AS50" s="259" t="s">
        <v>8</v>
      </c>
      <c r="AT50" s="259" t="s">
        <v>191</v>
      </c>
      <c r="AU50" s="259" t="s">
        <v>192</v>
      </c>
      <c r="AV50" s="259" t="s">
        <v>193</v>
      </c>
      <c r="AW50" s="259" t="s">
        <v>194</v>
      </c>
      <c r="AX50" s="259" t="s">
        <v>195</v>
      </c>
      <c r="AY50" s="259" t="s">
        <v>196</v>
      </c>
      <c r="AZ50" s="260" t="s">
        <v>197</v>
      </c>
      <c r="BA50" s="261" t="s">
        <v>187</v>
      </c>
      <c r="BB50" s="259" t="s">
        <v>188</v>
      </c>
      <c r="BC50" s="259" t="s">
        <v>189</v>
      </c>
      <c r="BD50" s="259" t="s">
        <v>190</v>
      </c>
      <c r="BE50" s="259" t="s">
        <v>8</v>
      </c>
      <c r="BF50" s="259" t="s">
        <v>191</v>
      </c>
      <c r="BG50" s="259" t="s">
        <v>192</v>
      </c>
      <c r="BH50" s="259" t="s">
        <v>193</v>
      </c>
      <c r="BI50" s="259" t="s">
        <v>194</v>
      </c>
      <c r="BJ50" s="259" t="s">
        <v>195</v>
      </c>
      <c r="BK50" s="259" t="s">
        <v>196</v>
      </c>
      <c r="BL50" s="260" t="s">
        <v>197</v>
      </c>
    </row>
    <row r="51" spans="1:64" ht="15.75">
      <c r="A51" s="82"/>
      <c r="B51" s="100" t="str">
        <f>+B37</f>
        <v>Tot. Assets</v>
      </c>
      <c r="C51" s="370"/>
      <c r="D51" s="85">
        <f>+SUM(D52:D58)</f>
        <v>0</v>
      </c>
      <c r="E51" s="83">
        <f>SUM(E52:E58)</f>
        <v>0</v>
      </c>
      <c r="F51" s="84">
        <f aca="true" t="shared" si="18" ref="F51:BL51">SUM(F52:F58)</f>
        <v>0</v>
      </c>
      <c r="G51" s="84">
        <f t="shared" si="18"/>
        <v>0</v>
      </c>
      <c r="H51" s="84">
        <f t="shared" si="18"/>
        <v>0</v>
      </c>
      <c r="I51" s="84">
        <f t="shared" si="18"/>
        <v>0</v>
      </c>
      <c r="J51" s="84">
        <f t="shared" si="18"/>
        <v>0</v>
      </c>
      <c r="K51" s="84">
        <f t="shared" si="18"/>
        <v>0</v>
      </c>
      <c r="L51" s="84">
        <f t="shared" si="18"/>
        <v>0</v>
      </c>
      <c r="M51" s="84">
        <f t="shared" si="18"/>
        <v>0</v>
      </c>
      <c r="N51" s="84">
        <f t="shared" si="18"/>
        <v>0</v>
      </c>
      <c r="O51" s="84">
        <f t="shared" si="18"/>
        <v>0</v>
      </c>
      <c r="P51" s="85">
        <f t="shared" si="18"/>
        <v>0</v>
      </c>
      <c r="Q51" s="83">
        <f t="shared" si="18"/>
        <v>0</v>
      </c>
      <c r="R51" s="84">
        <f t="shared" si="18"/>
        <v>0</v>
      </c>
      <c r="S51" s="84">
        <f t="shared" si="18"/>
        <v>0</v>
      </c>
      <c r="T51" s="84">
        <f t="shared" si="18"/>
        <v>0</v>
      </c>
      <c r="U51" s="84">
        <f t="shared" si="18"/>
        <v>0</v>
      </c>
      <c r="V51" s="84">
        <f t="shared" si="18"/>
        <v>0</v>
      </c>
      <c r="W51" s="84">
        <f t="shared" si="18"/>
        <v>0</v>
      </c>
      <c r="X51" s="84">
        <f t="shared" si="18"/>
        <v>0</v>
      </c>
      <c r="Y51" s="84">
        <f t="shared" si="18"/>
        <v>0</v>
      </c>
      <c r="Z51" s="84">
        <f t="shared" si="18"/>
        <v>0</v>
      </c>
      <c r="AA51" s="84">
        <f t="shared" si="18"/>
        <v>0</v>
      </c>
      <c r="AB51" s="85">
        <f t="shared" si="18"/>
        <v>0</v>
      </c>
      <c r="AC51" s="83">
        <f t="shared" si="18"/>
        <v>0</v>
      </c>
      <c r="AD51" s="84">
        <f t="shared" si="18"/>
        <v>0</v>
      </c>
      <c r="AE51" s="84">
        <f t="shared" si="18"/>
        <v>0</v>
      </c>
      <c r="AF51" s="84">
        <f t="shared" si="18"/>
        <v>0</v>
      </c>
      <c r="AG51" s="84">
        <f t="shared" si="18"/>
        <v>0</v>
      </c>
      <c r="AH51" s="84">
        <f t="shared" si="18"/>
        <v>0</v>
      </c>
      <c r="AI51" s="84">
        <f t="shared" si="18"/>
        <v>0</v>
      </c>
      <c r="AJ51" s="84">
        <f t="shared" si="18"/>
        <v>0</v>
      </c>
      <c r="AK51" s="84">
        <f t="shared" si="18"/>
        <v>0</v>
      </c>
      <c r="AL51" s="84">
        <f t="shared" si="18"/>
        <v>0</v>
      </c>
      <c r="AM51" s="84">
        <f t="shared" si="18"/>
        <v>0</v>
      </c>
      <c r="AN51" s="85">
        <f t="shared" si="18"/>
        <v>0</v>
      </c>
      <c r="AO51" s="83">
        <f t="shared" si="18"/>
        <v>0</v>
      </c>
      <c r="AP51" s="84">
        <f t="shared" si="18"/>
        <v>0</v>
      </c>
      <c r="AQ51" s="84">
        <f t="shared" si="18"/>
        <v>0</v>
      </c>
      <c r="AR51" s="84">
        <f t="shared" si="18"/>
        <v>0</v>
      </c>
      <c r="AS51" s="84">
        <f t="shared" si="18"/>
        <v>0</v>
      </c>
      <c r="AT51" s="84">
        <f t="shared" si="18"/>
        <v>0</v>
      </c>
      <c r="AU51" s="84">
        <f t="shared" si="18"/>
        <v>0</v>
      </c>
      <c r="AV51" s="84">
        <f t="shared" si="18"/>
        <v>0</v>
      </c>
      <c r="AW51" s="84">
        <f t="shared" si="18"/>
        <v>0</v>
      </c>
      <c r="AX51" s="84">
        <f t="shared" si="18"/>
        <v>0</v>
      </c>
      <c r="AY51" s="84">
        <f t="shared" si="18"/>
        <v>0</v>
      </c>
      <c r="AZ51" s="85">
        <f t="shared" si="18"/>
        <v>0</v>
      </c>
      <c r="BA51" s="83">
        <f>SUM(BA52:BA58)</f>
        <v>0</v>
      </c>
      <c r="BB51" s="84">
        <f t="shared" si="18"/>
        <v>0</v>
      </c>
      <c r="BC51" s="84">
        <f t="shared" si="18"/>
        <v>0</v>
      </c>
      <c r="BD51" s="84">
        <f t="shared" si="18"/>
        <v>0</v>
      </c>
      <c r="BE51" s="84">
        <f t="shared" si="18"/>
        <v>0</v>
      </c>
      <c r="BF51" s="84">
        <f t="shared" si="18"/>
        <v>0</v>
      </c>
      <c r="BG51" s="84">
        <f t="shared" si="18"/>
        <v>0</v>
      </c>
      <c r="BH51" s="84">
        <f t="shared" si="18"/>
        <v>0</v>
      </c>
      <c r="BI51" s="84">
        <f t="shared" si="18"/>
        <v>0</v>
      </c>
      <c r="BJ51" s="84">
        <f t="shared" si="18"/>
        <v>0</v>
      </c>
      <c r="BK51" s="84">
        <f>SUM(BK52:BK58)</f>
        <v>0</v>
      </c>
      <c r="BL51" s="85">
        <f t="shared" si="18"/>
        <v>0</v>
      </c>
    </row>
    <row r="52" spans="2:64" s="99" customFormat="1" ht="15.75">
      <c r="B52" s="273" t="str">
        <f>+B38</f>
        <v>Hardware</v>
      </c>
      <c r="C52" s="497">
        <f>20%/12</f>
        <v>0.016666666666666666</v>
      </c>
      <c r="E52" s="383">
        <f>D38*C52+E38*C52</f>
        <v>0</v>
      </c>
      <c r="F52" s="381">
        <f>F38*C52+E52</f>
        <v>0</v>
      </c>
      <c r="G52" s="381">
        <f aca="true" t="shared" si="19" ref="G52:BL52">G$38*$C$52+F52</f>
        <v>0</v>
      </c>
      <c r="H52" s="381">
        <f t="shared" si="19"/>
        <v>0</v>
      </c>
      <c r="I52" s="381">
        <f t="shared" si="19"/>
        <v>0</v>
      </c>
      <c r="J52" s="381">
        <f t="shared" si="19"/>
        <v>0</v>
      </c>
      <c r="K52" s="381">
        <f t="shared" si="19"/>
        <v>0</v>
      </c>
      <c r="L52" s="381">
        <f t="shared" si="19"/>
        <v>0</v>
      </c>
      <c r="M52" s="381">
        <f t="shared" si="19"/>
        <v>0</v>
      </c>
      <c r="N52" s="381">
        <f t="shared" si="19"/>
        <v>0</v>
      </c>
      <c r="O52" s="381">
        <f t="shared" si="19"/>
        <v>0</v>
      </c>
      <c r="P52" s="382">
        <f t="shared" si="19"/>
        <v>0</v>
      </c>
      <c r="Q52" s="383">
        <f t="shared" si="19"/>
        <v>0</v>
      </c>
      <c r="R52" s="381">
        <f t="shared" si="19"/>
        <v>0</v>
      </c>
      <c r="S52" s="381">
        <f t="shared" si="19"/>
        <v>0</v>
      </c>
      <c r="T52" s="381">
        <f t="shared" si="19"/>
        <v>0</v>
      </c>
      <c r="U52" s="381">
        <f t="shared" si="19"/>
        <v>0</v>
      </c>
      <c r="V52" s="381">
        <f t="shared" si="19"/>
        <v>0</v>
      </c>
      <c r="W52" s="381">
        <f t="shared" si="19"/>
        <v>0</v>
      </c>
      <c r="X52" s="381">
        <f t="shared" si="19"/>
        <v>0</v>
      </c>
      <c r="Y52" s="381">
        <f t="shared" si="19"/>
        <v>0</v>
      </c>
      <c r="Z52" s="381">
        <f t="shared" si="19"/>
        <v>0</v>
      </c>
      <c r="AA52" s="381">
        <f t="shared" si="19"/>
        <v>0</v>
      </c>
      <c r="AB52" s="382">
        <f t="shared" si="19"/>
        <v>0</v>
      </c>
      <c r="AC52" s="383">
        <f t="shared" si="19"/>
        <v>0</v>
      </c>
      <c r="AD52" s="381">
        <f t="shared" si="19"/>
        <v>0</v>
      </c>
      <c r="AE52" s="381">
        <f t="shared" si="19"/>
        <v>0</v>
      </c>
      <c r="AF52" s="381">
        <f t="shared" si="19"/>
        <v>0</v>
      </c>
      <c r="AG52" s="381">
        <f t="shared" si="19"/>
        <v>0</v>
      </c>
      <c r="AH52" s="381">
        <f t="shared" si="19"/>
        <v>0</v>
      </c>
      <c r="AI52" s="381">
        <f t="shared" si="19"/>
        <v>0</v>
      </c>
      <c r="AJ52" s="381">
        <f t="shared" si="19"/>
        <v>0</v>
      </c>
      <c r="AK52" s="381">
        <f t="shared" si="19"/>
        <v>0</v>
      </c>
      <c r="AL52" s="381">
        <f t="shared" si="19"/>
        <v>0</v>
      </c>
      <c r="AM52" s="381">
        <f t="shared" si="19"/>
        <v>0</v>
      </c>
      <c r="AN52" s="382">
        <f t="shared" si="19"/>
        <v>0</v>
      </c>
      <c r="AO52" s="383">
        <f t="shared" si="19"/>
        <v>0</v>
      </c>
      <c r="AP52" s="381">
        <f t="shared" si="19"/>
        <v>0</v>
      </c>
      <c r="AQ52" s="381">
        <f t="shared" si="19"/>
        <v>0</v>
      </c>
      <c r="AR52" s="381">
        <f t="shared" si="19"/>
        <v>0</v>
      </c>
      <c r="AS52" s="381">
        <f t="shared" si="19"/>
        <v>0</v>
      </c>
      <c r="AT52" s="381">
        <f t="shared" si="19"/>
        <v>0</v>
      </c>
      <c r="AU52" s="381">
        <f t="shared" si="19"/>
        <v>0</v>
      </c>
      <c r="AV52" s="381">
        <f t="shared" si="19"/>
        <v>0</v>
      </c>
      <c r="AW52" s="381">
        <f t="shared" si="19"/>
        <v>0</v>
      </c>
      <c r="AX52" s="381">
        <f t="shared" si="19"/>
        <v>0</v>
      </c>
      <c r="AY52" s="381">
        <f t="shared" si="19"/>
        <v>0</v>
      </c>
      <c r="AZ52" s="382">
        <f t="shared" si="19"/>
        <v>0</v>
      </c>
      <c r="BA52" s="383">
        <f t="shared" si="19"/>
        <v>0</v>
      </c>
      <c r="BB52" s="381">
        <f t="shared" si="19"/>
        <v>0</v>
      </c>
      <c r="BC52" s="381">
        <f t="shared" si="19"/>
        <v>0</v>
      </c>
      <c r="BD52" s="381">
        <f t="shared" si="19"/>
        <v>0</v>
      </c>
      <c r="BE52" s="381">
        <f t="shared" si="19"/>
        <v>0</v>
      </c>
      <c r="BF52" s="381">
        <f t="shared" si="19"/>
        <v>0</v>
      </c>
      <c r="BG52" s="381">
        <f t="shared" si="19"/>
        <v>0</v>
      </c>
      <c r="BH52" s="381">
        <f t="shared" si="19"/>
        <v>0</v>
      </c>
      <c r="BI52" s="381">
        <f t="shared" si="19"/>
        <v>0</v>
      </c>
      <c r="BJ52" s="381">
        <f t="shared" si="19"/>
        <v>0</v>
      </c>
      <c r="BK52" s="381">
        <f t="shared" si="19"/>
        <v>0</v>
      </c>
      <c r="BL52" s="382">
        <f t="shared" si="19"/>
        <v>0</v>
      </c>
    </row>
    <row r="53" spans="2:64" s="99" customFormat="1" ht="15.75">
      <c r="B53" s="273" t="str">
        <f aca="true" t="shared" si="20" ref="B53:B57">+B39</f>
        <v>Equipment</v>
      </c>
      <c r="C53" s="498">
        <f>20%/12</f>
        <v>0.016666666666666666</v>
      </c>
      <c r="D53" s="382"/>
      <c r="E53" s="383">
        <f aca="true" t="shared" si="21" ref="E53:E57">D39*C53+E39*C53</f>
        <v>0</v>
      </c>
      <c r="F53" s="381">
        <f>F39*$C$53+E53</f>
        <v>0</v>
      </c>
      <c r="G53" s="381">
        <f aca="true" t="shared" si="22" ref="G53:BL53">G39*$C$53+F53</f>
        <v>0</v>
      </c>
      <c r="H53" s="381">
        <f t="shared" si="22"/>
        <v>0</v>
      </c>
      <c r="I53" s="381">
        <f t="shared" si="22"/>
        <v>0</v>
      </c>
      <c r="J53" s="381">
        <f t="shared" si="22"/>
        <v>0</v>
      </c>
      <c r="K53" s="381">
        <f t="shared" si="22"/>
        <v>0</v>
      </c>
      <c r="L53" s="381">
        <f t="shared" si="22"/>
        <v>0</v>
      </c>
      <c r="M53" s="381">
        <f t="shared" si="22"/>
        <v>0</v>
      </c>
      <c r="N53" s="381">
        <f t="shared" si="22"/>
        <v>0</v>
      </c>
      <c r="O53" s="381">
        <f t="shared" si="22"/>
        <v>0</v>
      </c>
      <c r="P53" s="382">
        <f t="shared" si="22"/>
        <v>0</v>
      </c>
      <c r="Q53" s="383">
        <f t="shared" si="22"/>
        <v>0</v>
      </c>
      <c r="R53" s="381">
        <f t="shared" si="22"/>
        <v>0</v>
      </c>
      <c r="S53" s="381">
        <f t="shared" si="22"/>
        <v>0</v>
      </c>
      <c r="T53" s="381">
        <f t="shared" si="22"/>
        <v>0</v>
      </c>
      <c r="U53" s="381">
        <f t="shared" si="22"/>
        <v>0</v>
      </c>
      <c r="V53" s="381">
        <f t="shared" si="22"/>
        <v>0</v>
      </c>
      <c r="W53" s="381">
        <f t="shared" si="22"/>
        <v>0</v>
      </c>
      <c r="X53" s="381">
        <f t="shared" si="22"/>
        <v>0</v>
      </c>
      <c r="Y53" s="381">
        <f t="shared" si="22"/>
        <v>0</v>
      </c>
      <c r="Z53" s="381">
        <f t="shared" si="22"/>
        <v>0</v>
      </c>
      <c r="AA53" s="381">
        <f t="shared" si="22"/>
        <v>0</v>
      </c>
      <c r="AB53" s="382">
        <f t="shared" si="22"/>
        <v>0</v>
      </c>
      <c r="AC53" s="383">
        <f t="shared" si="22"/>
        <v>0</v>
      </c>
      <c r="AD53" s="381">
        <f t="shared" si="22"/>
        <v>0</v>
      </c>
      <c r="AE53" s="381">
        <f t="shared" si="22"/>
        <v>0</v>
      </c>
      <c r="AF53" s="381">
        <f t="shared" si="22"/>
        <v>0</v>
      </c>
      <c r="AG53" s="381">
        <f t="shared" si="22"/>
        <v>0</v>
      </c>
      <c r="AH53" s="381">
        <f t="shared" si="22"/>
        <v>0</v>
      </c>
      <c r="AI53" s="381">
        <f t="shared" si="22"/>
        <v>0</v>
      </c>
      <c r="AJ53" s="381">
        <f t="shared" si="22"/>
        <v>0</v>
      </c>
      <c r="AK53" s="381">
        <f t="shared" si="22"/>
        <v>0</v>
      </c>
      <c r="AL53" s="381">
        <f t="shared" si="22"/>
        <v>0</v>
      </c>
      <c r="AM53" s="381">
        <f t="shared" si="22"/>
        <v>0</v>
      </c>
      <c r="AN53" s="382">
        <f t="shared" si="22"/>
        <v>0</v>
      </c>
      <c r="AO53" s="383">
        <f t="shared" si="22"/>
        <v>0</v>
      </c>
      <c r="AP53" s="381">
        <f t="shared" si="22"/>
        <v>0</v>
      </c>
      <c r="AQ53" s="381">
        <f t="shared" si="22"/>
        <v>0</v>
      </c>
      <c r="AR53" s="381">
        <f t="shared" si="22"/>
        <v>0</v>
      </c>
      <c r="AS53" s="381">
        <f t="shared" si="22"/>
        <v>0</v>
      </c>
      <c r="AT53" s="381">
        <f t="shared" si="22"/>
        <v>0</v>
      </c>
      <c r="AU53" s="381">
        <f t="shared" si="22"/>
        <v>0</v>
      </c>
      <c r="AV53" s="381">
        <f t="shared" si="22"/>
        <v>0</v>
      </c>
      <c r="AW53" s="381">
        <f t="shared" si="22"/>
        <v>0</v>
      </c>
      <c r="AX53" s="381">
        <f t="shared" si="22"/>
        <v>0</v>
      </c>
      <c r="AY53" s="381">
        <f t="shared" si="22"/>
        <v>0</v>
      </c>
      <c r="AZ53" s="382">
        <f t="shared" si="22"/>
        <v>0</v>
      </c>
      <c r="BA53" s="383">
        <f t="shared" si="22"/>
        <v>0</v>
      </c>
      <c r="BB53" s="381">
        <f t="shared" si="22"/>
        <v>0</v>
      </c>
      <c r="BC53" s="381">
        <f t="shared" si="22"/>
        <v>0</v>
      </c>
      <c r="BD53" s="381">
        <f t="shared" si="22"/>
        <v>0</v>
      </c>
      <c r="BE53" s="381">
        <f t="shared" si="22"/>
        <v>0</v>
      </c>
      <c r="BF53" s="381">
        <f t="shared" si="22"/>
        <v>0</v>
      </c>
      <c r="BG53" s="381">
        <f t="shared" si="22"/>
        <v>0</v>
      </c>
      <c r="BH53" s="381">
        <f t="shared" si="22"/>
        <v>0</v>
      </c>
      <c r="BI53" s="381">
        <f t="shared" si="22"/>
        <v>0</v>
      </c>
      <c r="BJ53" s="381">
        <f t="shared" si="22"/>
        <v>0</v>
      </c>
      <c r="BK53" s="381">
        <f t="shared" si="22"/>
        <v>0</v>
      </c>
      <c r="BL53" s="382">
        <f t="shared" si="22"/>
        <v>0</v>
      </c>
    </row>
    <row r="54" spans="2:64" s="99" customFormat="1" ht="15.75">
      <c r="B54" s="273" t="str">
        <f t="shared" si="20"/>
        <v>Properties</v>
      </c>
      <c r="C54" s="498">
        <f>5%/12</f>
        <v>0.004166666666666667</v>
      </c>
      <c r="D54" s="382"/>
      <c r="E54" s="383">
        <f t="shared" si="21"/>
        <v>0</v>
      </c>
      <c r="F54" s="381">
        <f>F40*$C$54+E54</f>
        <v>0</v>
      </c>
      <c r="G54" s="381">
        <f aca="true" t="shared" si="23" ref="G54:BL54">G40*$C$54+F54</f>
        <v>0</v>
      </c>
      <c r="H54" s="381">
        <f t="shared" si="23"/>
        <v>0</v>
      </c>
      <c r="I54" s="381">
        <f t="shared" si="23"/>
        <v>0</v>
      </c>
      <c r="J54" s="381">
        <f t="shared" si="23"/>
        <v>0</v>
      </c>
      <c r="K54" s="381">
        <f t="shared" si="23"/>
        <v>0</v>
      </c>
      <c r="L54" s="381">
        <f t="shared" si="23"/>
        <v>0</v>
      </c>
      <c r="M54" s="381">
        <f t="shared" si="23"/>
        <v>0</v>
      </c>
      <c r="N54" s="381">
        <f t="shared" si="23"/>
        <v>0</v>
      </c>
      <c r="O54" s="381">
        <f t="shared" si="23"/>
        <v>0</v>
      </c>
      <c r="P54" s="382">
        <f t="shared" si="23"/>
        <v>0</v>
      </c>
      <c r="Q54" s="383">
        <f t="shared" si="23"/>
        <v>0</v>
      </c>
      <c r="R54" s="381">
        <f t="shared" si="23"/>
        <v>0</v>
      </c>
      <c r="S54" s="381">
        <f t="shared" si="23"/>
        <v>0</v>
      </c>
      <c r="T54" s="381">
        <f t="shared" si="23"/>
        <v>0</v>
      </c>
      <c r="U54" s="381">
        <f t="shared" si="23"/>
        <v>0</v>
      </c>
      <c r="V54" s="381">
        <f t="shared" si="23"/>
        <v>0</v>
      </c>
      <c r="W54" s="381">
        <f t="shared" si="23"/>
        <v>0</v>
      </c>
      <c r="X54" s="381">
        <f t="shared" si="23"/>
        <v>0</v>
      </c>
      <c r="Y54" s="381">
        <f t="shared" si="23"/>
        <v>0</v>
      </c>
      <c r="Z54" s="381">
        <f t="shared" si="23"/>
        <v>0</v>
      </c>
      <c r="AA54" s="381">
        <f t="shared" si="23"/>
        <v>0</v>
      </c>
      <c r="AB54" s="382">
        <f t="shared" si="23"/>
        <v>0</v>
      </c>
      <c r="AC54" s="383">
        <f t="shared" si="23"/>
        <v>0</v>
      </c>
      <c r="AD54" s="381">
        <f t="shared" si="23"/>
        <v>0</v>
      </c>
      <c r="AE54" s="381">
        <f t="shared" si="23"/>
        <v>0</v>
      </c>
      <c r="AF54" s="381">
        <f t="shared" si="23"/>
        <v>0</v>
      </c>
      <c r="AG54" s="381">
        <f t="shared" si="23"/>
        <v>0</v>
      </c>
      <c r="AH54" s="381">
        <f t="shared" si="23"/>
        <v>0</v>
      </c>
      <c r="AI54" s="381">
        <f t="shared" si="23"/>
        <v>0</v>
      </c>
      <c r="AJ54" s="381">
        <f t="shared" si="23"/>
        <v>0</v>
      </c>
      <c r="AK54" s="381">
        <f t="shared" si="23"/>
        <v>0</v>
      </c>
      <c r="AL54" s="381">
        <f t="shared" si="23"/>
        <v>0</v>
      </c>
      <c r="AM54" s="381">
        <f t="shared" si="23"/>
        <v>0</v>
      </c>
      <c r="AN54" s="382">
        <f t="shared" si="23"/>
        <v>0</v>
      </c>
      <c r="AO54" s="383">
        <f t="shared" si="23"/>
        <v>0</v>
      </c>
      <c r="AP54" s="381">
        <f t="shared" si="23"/>
        <v>0</v>
      </c>
      <c r="AQ54" s="381">
        <f t="shared" si="23"/>
        <v>0</v>
      </c>
      <c r="AR54" s="381">
        <f t="shared" si="23"/>
        <v>0</v>
      </c>
      <c r="AS54" s="381">
        <f t="shared" si="23"/>
        <v>0</v>
      </c>
      <c r="AT54" s="381">
        <f t="shared" si="23"/>
        <v>0</v>
      </c>
      <c r="AU54" s="381">
        <f t="shared" si="23"/>
        <v>0</v>
      </c>
      <c r="AV54" s="381">
        <f t="shared" si="23"/>
        <v>0</v>
      </c>
      <c r="AW54" s="381">
        <f t="shared" si="23"/>
        <v>0</v>
      </c>
      <c r="AX54" s="381">
        <f t="shared" si="23"/>
        <v>0</v>
      </c>
      <c r="AY54" s="381">
        <f t="shared" si="23"/>
        <v>0</v>
      </c>
      <c r="AZ54" s="382">
        <f t="shared" si="23"/>
        <v>0</v>
      </c>
      <c r="BA54" s="383">
        <f t="shared" si="23"/>
        <v>0</v>
      </c>
      <c r="BB54" s="381">
        <f t="shared" si="23"/>
        <v>0</v>
      </c>
      <c r="BC54" s="381">
        <f t="shared" si="23"/>
        <v>0</v>
      </c>
      <c r="BD54" s="381">
        <f t="shared" si="23"/>
        <v>0</v>
      </c>
      <c r="BE54" s="381">
        <f t="shared" si="23"/>
        <v>0</v>
      </c>
      <c r="BF54" s="381">
        <f t="shared" si="23"/>
        <v>0</v>
      </c>
      <c r="BG54" s="381">
        <f t="shared" si="23"/>
        <v>0</v>
      </c>
      <c r="BH54" s="381">
        <f t="shared" si="23"/>
        <v>0</v>
      </c>
      <c r="BI54" s="381">
        <f t="shared" si="23"/>
        <v>0</v>
      </c>
      <c r="BJ54" s="381">
        <f t="shared" si="23"/>
        <v>0</v>
      </c>
      <c r="BK54" s="381">
        <f t="shared" si="23"/>
        <v>0</v>
      </c>
      <c r="BL54" s="382">
        <f t="shared" si="23"/>
        <v>0</v>
      </c>
    </row>
    <row r="55" spans="2:64" s="99" customFormat="1" ht="16.95" customHeight="1">
      <c r="B55" s="273" t="str">
        <f t="shared" si="20"/>
        <v>Furnitures</v>
      </c>
      <c r="C55" s="497">
        <f>15%/12</f>
        <v>0.012499999999999999</v>
      </c>
      <c r="D55" s="382"/>
      <c r="E55" s="383">
        <f t="shared" si="21"/>
        <v>0</v>
      </c>
      <c r="F55" s="381">
        <f>F41*$C$55+E55</f>
        <v>0</v>
      </c>
      <c r="G55" s="381">
        <f aca="true" t="shared" si="24" ref="G55:BL55">G41*$C$55+F55</f>
        <v>0</v>
      </c>
      <c r="H55" s="381">
        <f t="shared" si="24"/>
        <v>0</v>
      </c>
      <c r="I55" s="381">
        <f t="shared" si="24"/>
        <v>0</v>
      </c>
      <c r="J55" s="381">
        <f t="shared" si="24"/>
        <v>0</v>
      </c>
      <c r="K55" s="381">
        <f t="shared" si="24"/>
        <v>0</v>
      </c>
      <c r="L55" s="381">
        <f t="shared" si="24"/>
        <v>0</v>
      </c>
      <c r="M55" s="381">
        <f t="shared" si="24"/>
        <v>0</v>
      </c>
      <c r="N55" s="439">
        <f t="shared" si="24"/>
        <v>0</v>
      </c>
      <c r="O55" s="381">
        <f t="shared" si="24"/>
        <v>0</v>
      </c>
      <c r="P55" s="382">
        <f t="shared" si="24"/>
        <v>0</v>
      </c>
      <c r="Q55" s="383">
        <f t="shared" si="24"/>
        <v>0</v>
      </c>
      <c r="R55" s="381">
        <f t="shared" si="24"/>
        <v>0</v>
      </c>
      <c r="S55" s="381">
        <f t="shared" si="24"/>
        <v>0</v>
      </c>
      <c r="T55" s="381">
        <f t="shared" si="24"/>
        <v>0</v>
      </c>
      <c r="U55" s="381">
        <f t="shared" si="24"/>
        <v>0</v>
      </c>
      <c r="V55" s="381">
        <f t="shared" si="24"/>
        <v>0</v>
      </c>
      <c r="W55" s="381">
        <f t="shared" si="24"/>
        <v>0</v>
      </c>
      <c r="X55" s="381">
        <f t="shared" si="24"/>
        <v>0</v>
      </c>
      <c r="Y55" s="381">
        <f t="shared" si="24"/>
        <v>0</v>
      </c>
      <c r="Z55" s="439">
        <f t="shared" si="24"/>
        <v>0</v>
      </c>
      <c r="AA55" s="381">
        <f t="shared" si="24"/>
        <v>0</v>
      </c>
      <c r="AB55" s="382">
        <f t="shared" si="24"/>
        <v>0</v>
      </c>
      <c r="AC55" s="383">
        <f t="shared" si="24"/>
        <v>0</v>
      </c>
      <c r="AD55" s="381">
        <f t="shared" si="24"/>
        <v>0</v>
      </c>
      <c r="AE55" s="381">
        <f t="shared" si="24"/>
        <v>0</v>
      </c>
      <c r="AF55" s="381">
        <f t="shared" si="24"/>
        <v>0</v>
      </c>
      <c r="AG55" s="381">
        <f t="shared" si="24"/>
        <v>0</v>
      </c>
      <c r="AH55" s="381">
        <f t="shared" si="24"/>
        <v>0</v>
      </c>
      <c r="AI55" s="381">
        <f t="shared" si="24"/>
        <v>0</v>
      </c>
      <c r="AJ55" s="381">
        <f t="shared" si="24"/>
        <v>0</v>
      </c>
      <c r="AK55" s="381">
        <f t="shared" si="24"/>
        <v>0</v>
      </c>
      <c r="AL55" s="439">
        <f t="shared" si="24"/>
        <v>0</v>
      </c>
      <c r="AM55" s="381">
        <f t="shared" si="24"/>
        <v>0</v>
      </c>
      <c r="AN55" s="382">
        <f t="shared" si="24"/>
        <v>0</v>
      </c>
      <c r="AO55" s="383">
        <f t="shared" si="24"/>
        <v>0</v>
      </c>
      <c r="AP55" s="381">
        <f t="shared" si="24"/>
        <v>0</v>
      </c>
      <c r="AQ55" s="381">
        <f t="shared" si="24"/>
        <v>0</v>
      </c>
      <c r="AR55" s="381">
        <f t="shared" si="24"/>
        <v>0</v>
      </c>
      <c r="AS55" s="381">
        <f t="shared" si="24"/>
        <v>0</v>
      </c>
      <c r="AT55" s="381">
        <f t="shared" si="24"/>
        <v>0</v>
      </c>
      <c r="AU55" s="381">
        <f t="shared" si="24"/>
        <v>0</v>
      </c>
      <c r="AV55" s="381">
        <f t="shared" si="24"/>
        <v>0</v>
      </c>
      <c r="AW55" s="381">
        <f t="shared" si="24"/>
        <v>0</v>
      </c>
      <c r="AX55" s="381">
        <f t="shared" si="24"/>
        <v>0</v>
      </c>
      <c r="AY55" s="381">
        <f t="shared" si="24"/>
        <v>0</v>
      </c>
      <c r="AZ55" s="382">
        <f t="shared" si="24"/>
        <v>0</v>
      </c>
      <c r="BA55" s="383">
        <f t="shared" si="24"/>
        <v>0</v>
      </c>
      <c r="BB55" s="381">
        <f t="shared" si="24"/>
        <v>0</v>
      </c>
      <c r="BC55" s="381">
        <f t="shared" si="24"/>
        <v>0</v>
      </c>
      <c r="BD55" s="381">
        <f t="shared" si="24"/>
        <v>0</v>
      </c>
      <c r="BE55" s="381">
        <f t="shared" si="24"/>
        <v>0</v>
      </c>
      <c r="BF55" s="381">
        <f t="shared" si="24"/>
        <v>0</v>
      </c>
      <c r="BG55" s="381">
        <f t="shared" si="24"/>
        <v>0</v>
      </c>
      <c r="BH55" s="381">
        <f t="shared" si="24"/>
        <v>0</v>
      </c>
      <c r="BI55" s="381">
        <f t="shared" si="24"/>
        <v>0</v>
      </c>
      <c r="BJ55" s="381">
        <f t="shared" si="24"/>
        <v>0</v>
      </c>
      <c r="BK55" s="381">
        <f t="shared" si="24"/>
        <v>0</v>
      </c>
      <c r="BL55" s="382">
        <f t="shared" si="24"/>
        <v>0</v>
      </c>
    </row>
    <row r="56" spans="2:64" s="99" customFormat="1" ht="16.95" customHeight="1" hidden="1">
      <c r="B56" s="273">
        <f t="shared" si="20"/>
        <v>0</v>
      </c>
      <c r="C56" s="497">
        <f>20%/12</f>
        <v>0.016666666666666666</v>
      </c>
      <c r="D56" s="441"/>
      <c r="E56" s="440">
        <f t="shared" si="21"/>
        <v>0</v>
      </c>
      <c r="F56" s="439">
        <f>F42*$C$56+E56</f>
        <v>0</v>
      </c>
      <c r="G56" s="439">
        <f aca="true" t="shared" si="25" ref="G56:BL56">G42*$C$56+F56</f>
        <v>0</v>
      </c>
      <c r="H56" s="439">
        <f t="shared" si="25"/>
        <v>0</v>
      </c>
      <c r="I56" s="439">
        <f t="shared" si="25"/>
        <v>0</v>
      </c>
      <c r="J56" s="439">
        <f t="shared" si="25"/>
        <v>0</v>
      </c>
      <c r="K56" s="439">
        <f t="shared" si="25"/>
        <v>0</v>
      </c>
      <c r="L56" s="439">
        <f t="shared" si="25"/>
        <v>0</v>
      </c>
      <c r="M56" s="439">
        <f t="shared" si="25"/>
        <v>0</v>
      </c>
      <c r="N56" s="381">
        <f t="shared" si="25"/>
        <v>0</v>
      </c>
      <c r="O56" s="439">
        <f t="shared" si="25"/>
        <v>0</v>
      </c>
      <c r="P56" s="441">
        <f t="shared" si="25"/>
        <v>0</v>
      </c>
      <c r="Q56" s="440">
        <f t="shared" si="25"/>
        <v>0</v>
      </c>
      <c r="R56" s="439">
        <f t="shared" si="25"/>
        <v>0</v>
      </c>
      <c r="S56" s="439">
        <f t="shared" si="25"/>
        <v>0</v>
      </c>
      <c r="T56" s="439">
        <f t="shared" si="25"/>
        <v>0</v>
      </c>
      <c r="U56" s="439">
        <f t="shared" si="25"/>
        <v>0</v>
      </c>
      <c r="V56" s="439">
        <f t="shared" si="25"/>
        <v>0</v>
      </c>
      <c r="W56" s="439">
        <f t="shared" si="25"/>
        <v>0</v>
      </c>
      <c r="X56" s="439">
        <f t="shared" si="25"/>
        <v>0</v>
      </c>
      <c r="Y56" s="439">
        <f t="shared" si="25"/>
        <v>0</v>
      </c>
      <c r="Z56" s="381">
        <f t="shared" si="25"/>
        <v>0</v>
      </c>
      <c r="AA56" s="439">
        <f t="shared" si="25"/>
        <v>0</v>
      </c>
      <c r="AB56" s="441">
        <f t="shared" si="25"/>
        <v>0</v>
      </c>
      <c r="AC56" s="383">
        <f t="shared" si="25"/>
        <v>0</v>
      </c>
      <c r="AD56" s="381">
        <f t="shared" si="25"/>
        <v>0</v>
      </c>
      <c r="AE56" s="381">
        <f t="shared" si="25"/>
        <v>0</v>
      </c>
      <c r="AF56" s="381">
        <f t="shared" si="25"/>
        <v>0</v>
      </c>
      <c r="AG56" s="381">
        <f t="shared" si="25"/>
        <v>0</v>
      </c>
      <c r="AH56" s="381">
        <f t="shared" si="25"/>
        <v>0</v>
      </c>
      <c r="AI56" s="381">
        <f t="shared" si="25"/>
        <v>0</v>
      </c>
      <c r="AJ56" s="381">
        <f t="shared" si="25"/>
        <v>0</v>
      </c>
      <c r="AK56" s="381">
        <f t="shared" si="25"/>
        <v>0</v>
      </c>
      <c r="AL56" s="439">
        <f t="shared" si="25"/>
        <v>0</v>
      </c>
      <c r="AM56" s="381">
        <f t="shared" si="25"/>
        <v>0</v>
      </c>
      <c r="AN56" s="382">
        <f t="shared" si="25"/>
        <v>0</v>
      </c>
      <c r="AO56" s="383">
        <f t="shared" si="25"/>
        <v>0</v>
      </c>
      <c r="AP56" s="381">
        <f t="shared" si="25"/>
        <v>0</v>
      </c>
      <c r="AQ56" s="381">
        <f t="shared" si="25"/>
        <v>0</v>
      </c>
      <c r="AR56" s="381">
        <f t="shared" si="25"/>
        <v>0</v>
      </c>
      <c r="AS56" s="381">
        <f t="shared" si="25"/>
        <v>0</v>
      </c>
      <c r="AT56" s="381">
        <f t="shared" si="25"/>
        <v>0</v>
      </c>
      <c r="AU56" s="381">
        <f t="shared" si="25"/>
        <v>0</v>
      </c>
      <c r="AV56" s="381">
        <f t="shared" si="25"/>
        <v>0</v>
      </c>
      <c r="AW56" s="381">
        <f t="shared" si="25"/>
        <v>0</v>
      </c>
      <c r="AX56" s="381">
        <f t="shared" si="25"/>
        <v>0</v>
      </c>
      <c r="AY56" s="381">
        <f t="shared" si="25"/>
        <v>0</v>
      </c>
      <c r="AZ56" s="382">
        <f t="shared" si="25"/>
        <v>0</v>
      </c>
      <c r="BA56" s="383">
        <f t="shared" si="25"/>
        <v>0</v>
      </c>
      <c r="BB56" s="381">
        <f t="shared" si="25"/>
        <v>0</v>
      </c>
      <c r="BC56" s="381">
        <f t="shared" si="25"/>
        <v>0</v>
      </c>
      <c r="BD56" s="381">
        <f t="shared" si="25"/>
        <v>0</v>
      </c>
      <c r="BE56" s="381">
        <f t="shared" si="25"/>
        <v>0</v>
      </c>
      <c r="BF56" s="381">
        <f t="shared" si="25"/>
        <v>0</v>
      </c>
      <c r="BG56" s="381">
        <f t="shared" si="25"/>
        <v>0</v>
      </c>
      <c r="BH56" s="381">
        <f t="shared" si="25"/>
        <v>0</v>
      </c>
      <c r="BI56" s="381">
        <f t="shared" si="25"/>
        <v>0</v>
      </c>
      <c r="BJ56" s="381">
        <f t="shared" si="25"/>
        <v>0</v>
      </c>
      <c r="BK56" s="381">
        <f t="shared" si="25"/>
        <v>0</v>
      </c>
      <c r="BL56" s="382">
        <f t="shared" si="25"/>
        <v>0</v>
      </c>
    </row>
    <row r="57" spans="2:64" s="99" customFormat="1" ht="16.95" customHeight="1">
      <c r="B57" s="138" t="str">
        <f t="shared" si="20"/>
        <v>Tangible investment</v>
      </c>
      <c r="C57" s="497">
        <f>15%/12</f>
        <v>0.012499999999999999</v>
      </c>
      <c r="D57" s="959"/>
      <c r="E57" s="90">
        <f t="shared" si="21"/>
        <v>0</v>
      </c>
      <c r="F57" s="91">
        <f>F43*$C$57+E57</f>
        <v>0</v>
      </c>
      <c r="G57" s="91">
        <f aca="true" t="shared" si="26" ref="G57:BL57">G43*$C$57+F57</f>
        <v>0</v>
      </c>
      <c r="H57" s="91">
        <f t="shared" si="26"/>
        <v>0</v>
      </c>
      <c r="I57" s="91">
        <f t="shared" si="26"/>
        <v>0</v>
      </c>
      <c r="J57" s="91">
        <f t="shared" si="26"/>
        <v>0</v>
      </c>
      <c r="K57" s="91">
        <f t="shared" si="26"/>
        <v>0</v>
      </c>
      <c r="L57" s="91">
        <f t="shared" si="26"/>
        <v>0</v>
      </c>
      <c r="M57" s="91">
        <f t="shared" si="26"/>
        <v>0</v>
      </c>
      <c r="N57" s="91">
        <f t="shared" si="26"/>
        <v>0</v>
      </c>
      <c r="O57" s="91">
        <f t="shared" si="26"/>
        <v>0</v>
      </c>
      <c r="P57" s="92">
        <f t="shared" si="26"/>
        <v>0</v>
      </c>
      <c r="Q57" s="90">
        <f t="shared" si="26"/>
        <v>0</v>
      </c>
      <c r="R57" s="91">
        <f t="shared" si="26"/>
        <v>0</v>
      </c>
      <c r="S57" s="91">
        <f t="shared" si="26"/>
        <v>0</v>
      </c>
      <c r="T57" s="91">
        <f t="shared" si="26"/>
        <v>0</v>
      </c>
      <c r="U57" s="91">
        <f t="shared" si="26"/>
        <v>0</v>
      </c>
      <c r="V57" s="91">
        <f t="shared" si="26"/>
        <v>0</v>
      </c>
      <c r="W57" s="91">
        <f t="shared" si="26"/>
        <v>0</v>
      </c>
      <c r="X57" s="91">
        <f t="shared" si="26"/>
        <v>0</v>
      </c>
      <c r="Y57" s="91">
        <f t="shared" si="26"/>
        <v>0</v>
      </c>
      <c r="Z57" s="91">
        <f t="shared" si="26"/>
        <v>0</v>
      </c>
      <c r="AA57" s="91">
        <f t="shared" si="26"/>
        <v>0</v>
      </c>
      <c r="AB57" s="92">
        <f t="shared" si="26"/>
        <v>0</v>
      </c>
      <c r="AC57" s="90">
        <f t="shared" si="26"/>
        <v>0</v>
      </c>
      <c r="AD57" s="91">
        <f t="shared" si="26"/>
        <v>0</v>
      </c>
      <c r="AE57" s="91">
        <f t="shared" si="26"/>
        <v>0</v>
      </c>
      <c r="AF57" s="91">
        <f t="shared" si="26"/>
        <v>0</v>
      </c>
      <c r="AG57" s="91">
        <f t="shared" si="26"/>
        <v>0</v>
      </c>
      <c r="AH57" s="91">
        <f t="shared" si="26"/>
        <v>0</v>
      </c>
      <c r="AI57" s="91">
        <f t="shared" si="26"/>
        <v>0</v>
      </c>
      <c r="AJ57" s="91">
        <f t="shared" si="26"/>
        <v>0</v>
      </c>
      <c r="AK57" s="91">
        <f t="shared" si="26"/>
        <v>0</v>
      </c>
      <c r="AL57" s="91">
        <f t="shared" si="26"/>
        <v>0</v>
      </c>
      <c r="AM57" s="91">
        <f t="shared" si="26"/>
        <v>0</v>
      </c>
      <c r="AN57" s="92">
        <f t="shared" si="26"/>
        <v>0</v>
      </c>
      <c r="AO57" s="90">
        <f t="shared" si="26"/>
        <v>0</v>
      </c>
      <c r="AP57" s="91">
        <f t="shared" si="26"/>
        <v>0</v>
      </c>
      <c r="AQ57" s="91">
        <f t="shared" si="26"/>
        <v>0</v>
      </c>
      <c r="AR57" s="91">
        <f t="shared" si="26"/>
        <v>0</v>
      </c>
      <c r="AS57" s="91">
        <f t="shared" si="26"/>
        <v>0</v>
      </c>
      <c r="AT57" s="91">
        <f t="shared" si="26"/>
        <v>0</v>
      </c>
      <c r="AU57" s="91">
        <f t="shared" si="26"/>
        <v>0</v>
      </c>
      <c r="AV57" s="91">
        <f t="shared" si="26"/>
        <v>0</v>
      </c>
      <c r="AW57" s="91">
        <f t="shared" si="26"/>
        <v>0</v>
      </c>
      <c r="AX57" s="91">
        <f t="shared" si="26"/>
        <v>0</v>
      </c>
      <c r="AY57" s="91">
        <f t="shared" si="26"/>
        <v>0</v>
      </c>
      <c r="AZ57" s="92">
        <f t="shared" si="26"/>
        <v>0</v>
      </c>
      <c r="BA57" s="90">
        <f t="shared" si="26"/>
        <v>0</v>
      </c>
      <c r="BB57" s="91">
        <f t="shared" si="26"/>
        <v>0</v>
      </c>
      <c r="BC57" s="91">
        <f t="shared" si="26"/>
        <v>0</v>
      </c>
      <c r="BD57" s="91">
        <f t="shared" si="26"/>
        <v>0</v>
      </c>
      <c r="BE57" s="91">
        <f t="shared" si="26"/>
        <v>0</v>
      </c>
      <c r="BF57" s="91">
        <f t="shared" si="26"/>
        <v>0</v>
      </c>
      <c r="BG57" s="91">
        <f t="shared" si="26"/>
        <v>0</v>
      </c>
      <c r="BH57" s="91">
        <f t="shared" si="26"/>
        <v>0</v>
      </c>
      <c r="BI57" s="91">
        <f t="shared" si="26"/>
        <v>0</v>
      </c>
      <c r="BJ57" s="91">
        <f t="shared" si="26"/>
        <v>0</v>
      </c>
      <c r="BK57" s="91">
        <f t="shared" si="26"/>
        <v>0</v>
      </c>
      <c r="BL57" s="92">
        <f t="shared" si="26"/>
        <v>0</v>
      </c>
    </row>
    <row r="58" spans="2:64" s="5" customFormat="1" ht="16.2" thickBot="1">
      <c r="B58" s="94"/>
      <c r="C58" s="371"/>
      <c r="D58" s="97"/>
      <c r="E58" s="95"/>
      <c r="F58" s="96"/>
      <c r="G58" s="96"/>
      <c r="H58" s="96"/>
      <c r="I58" s="96"/>
      <c r="J58" s="96"/>
      <c r="K58" s="96"/>
      <c r="L58" s="96"/>
      <c r="M58" s="96"/>
      <c r="N58" s="96"/>
      <c r="O58" s="96"/>
      <c r="P58" s="97"/>
      <c r="Q58" s="95"/>
      <c r="R58" s="96"/>
      <c r="S58" s="96"/>
      <c r="T58" s="96"/>
      <c r="U58" s="96"/>
      <c r="V58" s="96"/>
      <c r="W58" s="96"/>
      <c r="X58" s="96"/>
      <c r="Y58" s="96"/>
      <c r="Z58" s="96"/>
      <c r="AA58" s="96"/>
      <c r="AB58" s="97"/>
      <c r="AC58" s="95"/>
      <c r="AD58" s="96"/>
      <c r="AE58" s="96"/>
      <c r="AF58" s="96"/>
      <c r="AG58" s="96"/>
      <c r="AH58" s="96"/>
      <c r="AI58" s="96"/>
      <c r="AJ58" s="96"/>
      <c r="AK58" s="96"/>
      <c r="AL58" s="96"/>
      <c r="AM58" s="96"/>
      <c r="AN58" s="97"/>
      <c r="AO58" s="95"/>
      <c r="AP58" s="96"/>
      <c r="AQ58" s="96"/>
      <c r="AR58" s="96"/>
      <c r="AS58" s="96"/>
      <c r="AT58" s="96"/>
      <c r="AU58" s="96"/>
      <c r="AV58" s="96"/>
      <c r="AW58" s="96"/>
      <c r="AX58" s="96"/>
      <c r="AY58" s="96"/>
      <c r="AZ58" s="97"/>
      <c r="BA58" s="95"/>
      <c r="BB58" s="96"/>
      <c r="BC58" s="96"/>
      <c r="BD58" s="96"/>
      <c r="BE58" s="96"/>
      <c r="BF58" s="96"/>
      <c r="BG58" s="96"/>
      <c r="BH58" s="96"/>
      <c r="BI58" s="96"/>
      <c r="BJ58" s="96"/>
      <c r="BK58" s="96"/>
      <c r="BL58" s="97"/>
    </row>
    <row r="60" ht="15.75">
      <c r="E60" s="807"/>
    </row>
    <row r="62" ht="15.75">
      <c r="C62" s="2"/>
    </row>
    <row r="63" ht="15.75">
      <c r="C63" s="2"/>
    </row>
    <row r="64" ht="15.75">
      <c r="C64" s="2"/>
    </row>
    <row r="65" ht="15.75">
      <c r="C65" s="2"/>
    </row>
    <row r="66" ht="15.75">
      <c r="C66" s="2"/>
    </row>
    <row r="67" ht="15.75">
      <c r="C67" s="2"/>
    </row>
    <row r="68" ht="15.75">
      <c r="C68" s="2"/>
    </row>
    <row r="70" ht="15.75">
      <c r="C70" s="2"/>
    </row>
    <row r="71" ht="15.75">
      <c r="C71" s="2"/>
    </row>
    <row r="72" ht="15.75">
      <c r="C72" s="2"/>
    </row>
    <row r="73" ht="15.75">
      <c r="C73" s="2"/>
    </row>
    <row r="74" ht="15.75">
      <c r="C74" s="2"/>
    </row>
    <row r="75" ht="15.75">
      <c r="C75" s="2"/>
    </row>
    <row r="76" ht="15.75">
      <c r="C76" s="2"/>
    </row>
    <row r="77" ht="15.75">
      <c r="C77" s="2"/>
    </row>
  </sheetData>
  <sheetProtection algorithmName="SHA-512" hashValue="SRYfriAvT7QaHcZ1wPuKhsJpPXvL6OmZmhLH9Nkj0CEMyN+c+J8nE+UesLETyygDXO11Zaqz7QnTSto2VU7o7A==" saltValue="EW/V+y054YnOVfFKtv9HGg==" spinCount="100000" sheet="1" objects="1" scenarios="1"/>
  <mergeCells count="32">
    <mergeCell ref="BA5:BL6"/>
    <mergeCell ref="BA19:BL20"/>
    <mergeCell ref="BA34:BL35"/>
    <mergeCell ref="BA48:BL49"/>
    <mergeCell ref="AC5:AN6"/>
    <mergeCell ref="AC19:AN20"/>
    <mergeCell ref="AC34:AN35"/>
    <mergeCell ref="AC48:AN49"/>
    <mergeCell ref="AO5:AZ6"/>
    <mergeCell ref="AO19:AZ20"/>
    <mergeCell ref="AO34:AZ35"/>
    <mergeCell ref="AO48:AZ49"/>
    <mergeCell ref="B48:B50"/>
    <mergeCell ref="C48:C50"/>
    <mergeCell ref="D48:D49"/>
    <mergeCell ref="E48:P49"/>
    <mergeCell ref="Q48:AB49"/>
    <mergeCell ref="B5:B7"/>
    <mergeCell ref="C5:C7"/>
    <mergeCell ref="D5:D6"/>
    <mergeCell ref="E5:P6"/>
    <mergeCell ref="Q5:AB6"/>
    <mergeCell ref="Q19:AB20"/>
    <mergeCell ref="Q34:AB35"/>
    <mergeCell ref="C19:C21"/>
    <mergeCell ref="B19:B21"/>
    <mergeCell ref="D19:D20"/>
    <mergeCell ref="E19:P20"/>
    <mergeCell ref="B34:B36"/>
    <mergeCell ref="C34:C36"/>
    <mergeCell ref="D34:D35"/>
    <mergeCell ref="E34:P35"/>
  </mergeCells>
  <printOptions/>
  <pageMargins left="0" right="0" top="0" bottom="0" header="0" footer="0"/>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R78"/>
  <sheetViews>
    <sheetView zoomScale="65" zoomScaleNormal="65" workbookViewId="0" topLeftCell="B1">
      <pane xSplit="1" topLeftCell="C1" activePane="topRight" state="frozen"/>
      <selection pane="topLeft" activeCell="B1" sqref="B1"/>
      <selection pane="topRight" activeCell="J46" sqref="J46"/>
    </sheetView>
  </sheetViews>
  <sheetFormatPr defaultColWidth="10.75390625" defaultRowHeight="15.75"/>
  <cols>
    <col min="1" max="1" width="10.75390625" style="2" customWidth="1"/>
    <col min="2" max="2" width="46.25390625" style="2" bestFit="1" customWidth="1"/>
    <col min="3" max="5" width="12.00390625" style="2" customWidth="1"/>
    <col min="6" max="7" width="12.25390625" style="2" bestFit="1" customWidth="1"/>
    <col min="8" max="10" width="12.50390625" style="2" bestFit="1" customWidth="1"/>
    <col min="11" max="12" width="13.25390625" style="2" bestFit="1" customWidth="1"/>
    <col min="13" max="14" width="13.50390625" style="2" bestFit="1" customWidth="1"/>
    <col min="15" max="16" width="12.75390625" style="2" bestFit="1" customWidth="1"/>
    <col min="17" max="17" width="13.50390625" style="2" bestFit="1" customWidth="1"/>
    <col min="18" max="19" width="12.50390625" style="2" bestFit="1" customWidth="1"/>
    <col min="20" max="20" width="12.75390625" style="2" bestFit="1" customWidth="1"/>
    <col min="21" max="23" width="14.25390625" style="2" bestFit="1" customWidth="1"/>
    <col min="24" max="25" width="13.50390625" style="2" bestFit="1" customWidth="1"/>
    <col min="26" max="27" width="14.25390625" style="2" bestFit="1" customWidth="1"/>
    <col min="28" max="28" width="12.75390625" style="2" bestFit="1" customWidth="1"/>
    <col min="29" max="29" width="13.50390625" style="2" bestFit="1" customWidth="1"/>
    <col min="30" max="30" width="14.25390625" style="2" bestFit="1" customWidth="1"/>
    <col min="31" max="31" width="12.75390625" style="2" bestFit="1" customWidth="1"/>
    <col min="32" max="35" width="14.25390625" style="2" bestFit="1" customWidth="1"/>
    <col min="36" max="37" width="13.25390625" style="2" bestFit="1" customWidth="1"/>
    <col min="38" max="47" width="14.25390625" style="2" bestFit="1" customWidth="1"/>
    <col min="48" max="49" width="13.25390625" style="2" bestFit="1" customWidth="1"/>
    <col min="50" max="59" width="14.25390625" style="2" bestFit="1" customWidth="1"/>
    <col min="60" max="61" width="13.25390625" style="2" bestFit="1" customWidth="1"/>
    <col min="62" max="65" width="14.25390625" style="2" bestFit="1" customWidth="1"/>
    <col min="66" max="66" width="12.00390625" style="2" bestFit="1" customWidth="1"/>
    <col min="67" max="16384" width="10.75390625" style="2" customWidth="1"/>
  </cols>
  <sheetData>
    <row r="1" ht="27" customHeight="1"/>
    <row r="2" spans="2:4" ht="15.75">
      <c r="B2" s="5" t="s">
        <v>56</v>
      </c>
      <c r="C2" s="5"/>
      <c r="D2" s="5"/>
    </row>
    <row r="3" spans="2:4" ht="16.2" thickBot="1">
      <c r="B3" s="5"/>
      <c r="C3" s="5"/>
      <c r="D3" s="5"/>
    </row>
    <row r="4" spans="2:4" ht="16.2" thickBot="1">
      <c r="B4" s="427" t="s">
        <v>253</v>
      </c>
      <c r="C4" s="429"/>
      <c r="D4" s="91"/>
    </row>
    <row r="5" spans="2:4" s="101" customFormat="1" ht="16.95" customHeight="1" thickBot="1">
      <c r="B5" s="321" t="s">
        <v>209</v>
      </c>
      <c r="C5" s="722">
        <v>1</v>
      </c>
      <c r="D5" s="528"/>
    </row>
    <row r="6" spans="2:4" s="101" customFormat="1" ht="16.95" customHeight="1" thickBot="1">
      <c r="B6" s="321" t="s">
        <v>244</v>
      </c>
      <c r="C6" s="722">
        <v>0</v>
      </c>
      <c r="D6" s="528"/>
    </row>
    <row r="7" spans="2:4" ht="16.95" customHeight="1" thickBot="1">
      <c r="B7" s="428" t="s">
        <v>210</v>
      </c>
      <c r="C7" s="722">
        <v>90</v>
      </c>
      <c r="D7" s="528"/>
    </row>
    <row r="8" ht="16.2" thickBot="1">
      <c r="C8" s="723"/>
    </row>
    <row r="9" spans="2:4" ht="16.2" thickBot="1">
      <c r="B9" s="427" t="s">
        <v>334</v>
      </c>
      <c r="C9" s="724"/>
      <c r="D9" s="91"/>
    </row>
    <row r="10" spans="2:4" ht="16.2" thickBot="1">
      <c r="B10" s="321" t="s">
        <v>209</v>
      </c>
      <c r="C10" s="722">
        <v>1</v>
      </c>
      <c r="D10" s="528"/>
    </row>
    <row r="11" spans="2:4" s="101" customFormat="1" ht="16.95" customHeight="1" thickBot="1">
      <c r="B11" s="321" t="s">
        <v>244</v>
      </c>
      <c r="C11" s="722">
        <v>0</v>
      </c>
      <c r="D11" s="528"/>
    </row>
    <row r="12" spans="2:14" ht="16.95" customHeight="1" thickBot="1">
      <c r="B12" s="428" t="s">
        <v>210</v>
      </c>
      <c r="C12" s="722">
        <v>90</v>
      </c>
      <c r="D12" s="528"/>
      <c r="L12" s="857"/>
      <c r="M12" s="857"/>
      <c r="N12" s="857"/>
    </row>
    <row r="13" spans="2:14" ht="15.75">
      <c r="B13" s="5"/>
      <c r="C13" s="5"/>
      <c r="D13" s="5"/>
      <c r="L13" s="857"/>
      <c r="M13" s="857"/>
      <c r="N13" s="857"/>
    </row>
    <row r="14" spans="2:65" ht="16.2" hidden="1" thickBot="1">
      <c r="B14" s="427" t="s">
        <v>240</v>
      </c>
      <c r="C14" s="1616"/>
      <c r="D14" s="1617"/>
      <c r="E14" s="1617"/>
      <c r="F14" s="1617"/>
      <c r="G14" s="1617"/>
      <c r="H14" s="1618"/>
      <c r="I14" s="307"/>
      <c r="J14" s="307"/>
      <c r="K14" s="307"/>
      <c r="L14" s="857"/>
      <c r="M14" s="857"/>
      <c r="N14" s="85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row>
    <row r="15" spans="2:65" ht="16.2" hidden="1" thickBot="1">
      <c r="B15" s="322" t="s">
        <v>236</v>
      </c>
      <c r="C15" s="542">
        <f>+C30</f>
        <v>2019</v>
      </c>
      <c r="D15" s="542">
        <f>1+C15</f>
        <v>2020</v>
      </c>
      <c r="E15" s="542">
        <f>D15+1</f>
        <v>2021</v>
      </c>
      <c r="F15" s="542">
        <f aca="true" t="shared" si="0" ref="F15:G15">E15+1</f>
        <v>2022</v>
      </c>
      <c r="G15" s="542">
        <f t="shared" si="0"/>
        <v>2023</v>
      </c>
      <c r="H15" s="522">
        <f>G15+1</f>
        <v>2024</v>
      </c>
      <c r="I15" s="307"/>
      <c r="J15" s="307"/>
      <c r="K15" s="307"/>
      <c r="L15" s="857"/>
      <c r="M15" s="857"/>
      <c r="N15" s="85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row>
    <row r="16" spans="2:65" ht="15.75" hidden="1">
      <c r="B16" s="540" t="s">
        <v>299</v>
      </c>
      <c r="C16" s="115"/>
      <c r="D16" s="532"/>
      <c r="E16" s="532"/>
      <c r="F16" s="532"/>
      <c r="G16" s="532"/>
      <c r="H16" s="533"/>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row>
    <row r="17" spans="2:65" ht="15.75" hidden="1">
      <c r="B17" s="540" t="s">
        <v>300</v>
      </c>
      <c r="C17" s="115"/>
      <c r="D17" s="532"/>
      <c r="E17" s="531"/>
      <c r="F17" s="531"/>
      <c r="G17" s="531"/>
      <c r="H17" s="530"/>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row>
    <row r="18" spans="2:65" ht="15.75" hidden="1">
      <c r="B18" s="540" t="s">
        <v>241</v>
      </c>
      <c r="C18" s="115"/>
      <c r="D18" s="532"/>
      <c r="E18" s="532"/>
      <c r="F18" s="532"/>
      <c r="G18" s="532"/>
      <c r="H18" s="533"/>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row>
    <row r="19" spans="2:65" ht="16.2" hidden="1" thickBot="1">
      <c r="B19" s="540" t="s">
        <v>242</v>
      </c>
      <c r="C19" s="120"/>
      <c r="D19" s="532"/>
      <c r="E19" s="536"/>
      <c r="F19" s="536"/>
      <c r="G19" s="536"/>
      <c r="H19" s="53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row>
    <row r="20" spans="2:65" ht="16.2" hidden="1" thickBot="1">
      <c r="B20" s="322" t="s">
        <v>243</v>
      </c>
      <c r="C20" s="544"/>
      <c r="D20" s="545"/>
      <c r="E20" s="545"/>
      <c r="F20" s="545"/>
      <c r="G20" s="545"/>
      <c r="H20" s="546"/>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row>
    <row r="21" spans="2:65" ht="16.2" hidden="1" thickBot="1">
      <c r="B21" s="856" t="s">
        <v>299</v>
      </c>
      <c r="C21" s="544"/>
      <c r="D21" s="545"/>
      <c r="E21" s="545"/>
      <c r="F21" s="545"/>
      <c r="G21" s="545"/>
      <c r="H21" s="546"/>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7"/>
      <c r="BG21" s="307"/>
      <c r="BH21" s="307"/>
      <c r="BI21" s="307"/>
      <c r="BJ21" s="307"/>
      <c r="BK21" s="307"/>
      <c r="BL21" s="307"/>
      <c r="BM21" s="307"/>
    </row>
    <row r="22" spans="2:65" ht="16.2" hidden="1" thickBot="1">
      <c r="B22" s="856" t="s">
        <v>300</v>
      </c>
      <c r="C22" s="544"/>
      <c r="D22" s="545"/>
      <c r="E22" s="545"/>
      <c r="F22" s="545"/>
      <c r="G22" s="545"/>
      <c r="H22" s="546"/>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row>
    <row r="23" spans="2:65" ht="15.75" hidden="1">
      <c r="B23" s="540" t="s">
        <v>241</v>
      </c>
      <c r="C23" s="114"/>
      <c r="D23" s="543"/>
      <c r="E23" s="543"/>
      <c r="F23" s="543"/>
      <c r="G23" s="543"/>
      <c r="H23" s="533"/>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row>
    <row r="24" spans="2:65" ht="16.2" hidden="1" thickBot="1">
      <c r="B24" s="541" t="s">
        <v>242</v>
      </c>
      <c r="C24" s="118"/>
      <c r="D24" s="538"/>
      <c r="E24" s="538"/>
      <c r="F24" s="538"/>
      <c r="G24" s="538"/>
      <c r="H24" s="539"/>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c r="BI24" s="307"/>
      <c r="BJ24" s="307"/>
      <c r="BK24" s="307"/>
      <c r="BL24" s="307"/>
      <c r="BM24" s="307"/>
    </row>
    <row r="25" spans="5:65" ht="15.75">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c r="BE25" s="307"/>
      <c r="BF25" s="307"/>
      <c r="BG25" s="307"/>
      <c r="BH25" s="307"/>
      <c r="BI25" s="307"/>
      <c r="BJ25" s="307"/>
      <c r="BK25" s="307"/>
      <c r="BL25" s="307"/>
      <c r="BM25" s="307"/>
    </row>
    <row r="26" spans="2:65" ht="15.75">
      <c r="B26" s="307" t="s">
        <v>248</v>
      </c>
      <c r="E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c r="BM26" s="307"/>
    </row>
    <row r="27" spans="2:65" ht="15.75">
      <c r="B27" s="307" t="s">
        <v>250</v>
      </c>
      <c r="E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row>
    <row r="28" spans="2:65" ht="15.75">
      <c r="B28" s="307" t="s">
        <v>251</v>
      </c>
      <c r="E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row>
    <row r="29" spans="5:65" ht="16.2" thickBot="1">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row>
    <row r="30" spans="2:65" s="52" customFormat="1" ht="34.95" customHeight="1">
      <c r="B30" s="1603" t="s">
        <v>213</v>
      </c>
      <c r="C30" s="1595">
        <f>+Assumptions!C3</f>
        <v>2019</v>
      </c>
      <c r="D30" s="1579"/>
      <c r="E30" s="1580"/>
      <c r="F30" s="1595">
        <f>1+C30</f>
        <v>2020</v>
      </c>
      <c r="G30" s="1579"/>
      <c r="H30" s="1579"/>
      <c r="I30" s="1579"/>
      <c r="J30" s="1579"/>
      <c r="K30" s="1579"/>
      <c r="L30" s="1579"/>
      <c r="M30" s="1579"/>
      <c r="N30" s="1579"/>
      <c r="O30" s="1579"/>
      <c r="P30" s="1579"/>
      <c r="Q30" s="1580"/>
      <c r="R30" s="1595">
        <f>1+F30</f>
        <v>2021</v>
      </c>
      <c r="S30" s="1579"/>
      <c r="T30" s="1579"/>
      <c r="U30" s="1579"/>
      <c r="V30" s="1579"/>
      <c r="W30" s="1579"/>
      <c r="X30" s="1579"/>
      <c r="Y30" s="1579"/>
      <c r="Z30" s="1579"/>
      <c r="AA30" s="1579"/>
      <c r="AB30" s="1579"/>
      <c r="AC30" s="1580"/>
      <c r="AD30" s="1595">
        <f>1+R30</f>
        <v>2022</v>
      </c>
      <c r="AE30" s="1579"/>
      <c r="AF30" s="1579"/>
      <c r="AG30" s="1579"/>
      <c r="AH30" s="1579"/>
      <c r="AI30" s="1579"/>
      <c r="AJ30" s="1579"/>
      <c r="AK30" s="1579"/>
      <c r="AL30" s="1579"/>
      <c r="AM30" s="1579"/>
      <c r="AN30" s="1579"/>
      <c r="AO30" s="1580"/>
      <c r="AP30" s="1595">
        <f>1+AD30</f>
        <v>2023</v>
      </c>
      <c r="AQ30" s="1579"/>
      <c r="AR30" s="1579"/>
      <c r="AS30" s="1579"/>
      <c r="AT30" s="1579"/>
      <c r="AU30" s="1579"/>
      <c r="AV30" s="1579"/>
      <c r="AW30" s="1579"/>
      <c r="AX30" s="1579"/>
      <c r="AY30" s="1579"/>
      <c r="AZ30" s="1579"/>
      <c r="BA30" s="1580"/>
      <c r="BB30" s="1595">
        <f>1+AP30</f>
        <v>2024</v>
      </c>
      <c r="BC30" s="1579"/>
      <c r="BD30" s="1579"/>
      <c r="BE30" s="1579"/>
      <c r="BF30" s="1579"/>
      <c r="BG30" s="1579"/>
      <c r="BH30" s="1579"/>
      <c r="BI30" s="1579"/>
      <c r="BJ30" s="1579"/>
      <c r="BK30" s="1579"/>
      <c r="BL30" s="1579"/>
      <c r="BM30" s="1580"/>
    </row>
    <row r="31" spans="2:65" s="52" customFormat="1" ht="16.2" thickBot="1">
      <c r="B31" s="1604"/>
      <c r="C31" s="1613"/>
      <c r="D31" s="1614"/>
      <c r="E31" s="1615"/>
      <c r="F31" s="1596"/>
      <c r="G31" s="1581"/>
      <c r="H31" s="1581"/>
      <c r="I31" s="1581"/>
      <c r="J31" s="1581"/>
      <c r="K31" s="1581"/>
      <c r="L31" s="1581"/>
      <c r="M31" s="1581"/>
      <c r="N31" s="1581"/>
      <c r="O31" s="1581"/>
      <c r="P31" s="1581"/>
      <c r="Q31" s="1582"/>
      <c r="R31" s="1596"/>
      <c r="S31" s="1581"/>
      <c r="T31" s="1581"/>
      <c r="U31" s="1581"/>
      <c r="V31" s="1581"/>
      <c r="W31" s="1581"/>
      <c r="X31" s="1581"/>
      <c r="Y31" s="1581"/>
      <c r="Z31" s="1581"/>
      <c r="AA31" s="1581"/>
      <c r="AB31" s="1581"/>
      <c r="AC31" s="1582"/>
      <c r="AD31" s="1596"/>
      <c r="AE31" s="1581"/>
      <c r="AF31" s="1581"/>
      <c r="AG31" s="1581"/>
      <c r="AH31" s="1581"/>
      <c r="AI31" s="1581"/>
      <c r="AJ31" s="1581"/>
      <c r="AK31" s="1581"/>
      <c r="AL31" s="1581"/>
      <c r="AM31" s="1581"/>
      <c r="AN31" s="1581"/>
      <c r="AO31" s="1582"/>
      <c r="AP31" s="1596"/>
      <c r="AQ31" s="1581"/>
      <c r="AR31" s="1581"/>
      <c r="AS31" s="1581"/>
      <c r="AT31" s="1581"/>
      <c r="AU31" s="1581"/>
      <c r="AV31" s="1581"/>
      <c r="AW31" s="1581"/>
      <c r="AX31" s="1581"/>
      <c r="AY31" s="1581"/>
      <c r="AZ31" s="1581"/>
      <c r="BA31" s="1582"/>
      <c r="BB31" s="1596"/>
      <c r="BC31" s="1581"/>
      <c r="BD31" s="1581"/>
      <c r="BE31" s="1581"/>
      <c r="BF31" s="1581"/>
      <c r="BG31" s="1581"/>
      <c r="BH31" s="1581"/>
      <c r="BI31" s="1581"/>
      <c r="BJ31" s="1581"/>
      <c r="BK31" s="1581"/>
      <c r="BL31" s="1581"/>
      <c r="BM31" s="1582"/>
    </row>
    <row r="32" spans="2:65" s="52" customFormat="1" ht="16.2" thickBot="1">
      <c r="B32" s="1605"/>
      <c r="C32" s="523" t="s">
        <v>195</v>
      </c>
      <c r="D32" s="275" t="s">
        <v>196</v>
      </c>
      <c r="E32" s="524" t="s">
        <v>197</v>
      </c>
      <c r="F32" s="274" t="s">
        <v>187</v>
      </c>
      <c r="G32" s="275" t="s">
        <v>188</v>
      </c>
      <c r="H32" s="275" t="s">
        <v>189</v>
      </c>
      <c r="I32" s="275" t="s">
        <v>190</v>
      </c>
      <c r="J32" s="275" t="s">
        <v>8</v>
      </c>
      <c r="K32" s="275" t="s">
        <v>191</v>
      </c>
      <c r="L32" s="275" t="s">
        <v>192</v>
      </c>
      <c r="M32" s="275" t="s">
        <v>193</v>
      </c>
      <c r="N32" s="275" t="s">
        <v>194</v>
      </c>
      <c r="O32" s="275" t="s">
        <v>195</v>
      </c>
      <c r="P32" s="275" t="s">
        <v>196</v>
      </c>
      <c r="Q32" s="276" t="s">
        <v>197</v>
      </c>
      <c r="R32" s="274" t="s">
        <v>187</v>
      </c>
      <c r="S32" s="275" t="s">
        <v>188</v>
      </c>
      <c r="T32" s="275" t="s">
        <v>189</v>
      </c>
      <c r="U32" s="275" t="s">
        <v>190</v>
      </c>
      <c r="V32" s="275" t="s">
        <v>8</v>
      </c>
      <c r="W32" s="275" t="s">
        <v>191</v>
      </c>
      <c r="X32" s="275" t="s">
        <v>192</v>
      </c>
      <c r="Y32" s="275" t="s">
        <v>193</v>
      </c>
      <c r="Z32" s="275" t="s">
        <v>194</v>
      </c>
      <c r="AA32" s="275" t="s">
        <v>195</v>
      </c>
      <c r="AB32" s="275" t="s">
        <v>196</v>
      </c>
      <c r="AC32" s="276" t="s">
        <v>197</v>
      </c>
      <c r="AD32" s="274" t="s">
        <v>187</v>
      </c>
      <c r="AE32" s="275" t="s">
        <v>188</v>
      </c>
      <c r="AF32" s="275" t="s">
        <v>189</v>
      </c>
      <c r="AG32" s="275" t="s">
        <v>190</v>
      </c>
      <c r="AH32" s="275" t="s">
        <v>8</v>
      </c>
      <c r="AI32" s="275" t="s">
        <v>191</v>
      </c>
      <c r="AJ32" s="275" t="s">
        <v>192</v>
      </c>
      <c r="AK32" s="275" t="s">
        <v>193</v>
      </c>
      <c r="AL32" s="275" t="s">
        <v>194</v>
      </c>
      <c r="AM32" s="275" t="s">
        <v>195</v>
      </c>
      <c r="AN32" s="275" t="s">
        <v>196</v>
      </c>
      <c r="AO32" s="276" t="s">
        <v>197</v>
      </c>
      <c r="AP32" s="274" t="s">
        <v>187</v>
      </c>
      <c r="AQ32" s="275" t="s">
        <v>188</v>
      </c>
      <c r="AR32" s="275" t="s">
        <v>189</v>
      </c>
      <c r="AS32" s="275" t="s">
        <v>190</v>
      </c>
      <c r="AT32" s="275" t="s">
        <v>8</v>
      </c>
      <c r="AU32" s="275" t="s">
        <v>191</v>
      </c>
      <c r="AV32" s="275" t="s">
        <v>192</v>
      </c>
      <c r="AW32" s="275" t="s">
        <v>193</v>
      </c>
      <c r="AX32" s="275" t="s">
        <v>194</v>
      </c>
      <c r="AY32" s="275" t="s">
        <v>195</v>
      </c>
      <c r="AZ32" s="275" t="s">
        <v>196</v>
      </c>
      <c r="BA32" s="276" t="s">
        <v>197</v>
      </c>
      <c r="BB32" s="414" t="s">
        <v>187</v>
      </c>
      <c r="BC32" s="275" t="s">
        <v>188</v>
      </c>
      <c r="BD32" s="275" t="s">
        <v>189</v>
      </c>
      <c r="BE32" s="275" t="s">
        <v>190</v>
      </c>
      <c r="BF32" s="275" t="s">
        <v>8</v>
      </c>
      <c r="BG32" s="275" t="s">
        <v>191</v>
      </c>
      <c r="BH32" s="275" t="s">
        <v>192</v>
      </c>
      <c r="BI32" s="275" t="s">
        <v>193</v>
      </c>
      <c r="BJ32" s="275" t="s">
        <v>194</v>
      </c>
      <c r="BK32" s="275" t="s">
        <v>195</v>
      </c>
      <c r="BL32" s="275" t="s">
        <v>196</v>
      </c>
      <c r="BM32" s="415" t="s">
        <v>197</v>
      </c>
    </row>
    <row r="33" spans="2:65" s="101" customFormat="1" ht="31.95" customHeight="1">
      <c r="B33" s="103" t="s">
        <v>214</v>
      </c>
      <c r="C33" s="105"/>
      <c r="D33" s="1421"/>
      <c r="E33" s="106"/>
      <c r="F33" s="104">
        <f>+IF($C$6=0,'WC (construction)'!F73+'Balance Sheet'!$I$50/24,('Balance Sheet'!$I$50/24))+F47</f>
        <v>33.791666666666664</v>
      </c>
      <c r="G33" s="105">
        <f>+IF($C$6=0,'WC (construction)'!G73+'Balance Sheet'!$I$50/24,+'WC (construction)'!F73+('Balance Sheet'!$I$50/24))+G47</f>
        <v>33.791666666666664</v>
      </c>
      <c r="H33" s="105">
        <f>+IF($C$6=0,'WC (construction)'!H73+'Balance Sheet'!$I$50/24,+'WC (construction)'!G73+('Balance Sheet'!$I$50/24))+H47</f>
        <v>33.791666666666664</v>
      </c>
      <c r="I33" s="105">
        <f>+IF($C$6=0,'WC (construction)'!I73+'Balance Sheet'!$I$50/24,+'WC (construction)'!H73+('Balance Sheet'!$I$50/24))+I47</f>
        <v>33.791666666666664</v>
      </c>
      <c r="J33" s="105">
        <f>+IF($C$6=0,'WC (construction)'!J73+'Balance Sheet'!$I$50/24,+'WC (construction)'!I73+('Balance Sheet'!$I$50/24))+J47</f>
        <v>33.791666666666664</v>
      </c>
      <c r="K33" s="105">
        <f>+IF($C$6=0,'WC (construction)'!K73+'Balance Sheet'!$I$50/24,+'WC (construction)'!J73+('Balance Sheet'!$I$50/24))+K47</f>
        <v>8403.791666666666</v>
      </c>
      <c r="L33" s="105">
        <f>+IF($C$6=0,'WC (construction)'!L73+'Balance Sheet'!$I$50/24,+'WC (construction)'!K73+('Balance Sheet'!$I$50/24))+L47</f>
        <v>2813.7916666666665</v>
      </c>
      <c r="M33" s="105">
        <f>+IF($C$6=0,'WC (construction)'!M73+'Balance Sheet'!$I$50/24,+'WC (construction)'!L73+('Balance Sheet'!$I$50/24))+M47</f>
        <v>33.791666666666664</v>
      </c>
      <c r="N33" s="105">
        <f>+IF($C$6=0,'WC (construction)'!N73+'Balance Sheet'!$I$50/24,+'WC (construction)'!M73+('Balance Sheet'!$I$50/24))+N47</f>
        <v>33.791666666666664</v>
      </c>
      <c r="O33" s="105">
        <f>+IF($C$6=0,'WC (construction)'!O73+'Balance Sheet'!$I$50/24,+'WC (construction)'!N73+('Balance Sheet'!$I$50/24))+O47</f>
        <v>16062.541666666666</v>
      </c>
      <c r="P33" s="105">
        <f>+IF($C$6=0,'WC (construction)'!P73+'Balance Sheet'!$I$50/24,+'WC (construction)'!O73+('Balance Sheet'!$I$50/24))+P47</f>
        <v>18482.541666666668</v>
      </c>
      <c r="Q33" s="106">
        <f>+IF($C$6=0,'WC (construction)'!Q73+'Balance Sheet'!$I$50/24,+'WC (construction)'!P73+('Balance Sheet'!$I$50/24))+Q47</f>
        <v>18917.541666666668</v>
      </c>
      <c r="R33" s="104">
        <f>+IF($C$6=0,'WC (construction)'!R73+'Balance Sheet'!$I$50/24,+'WC (construction)'!Q73+('Balance Sheet'!$I$50/24))+R47</f>
        <v>34677.791666666664</v>
      </c>
      <c r="S33" s="105">
        <f>+IF($C$6=0,'WC (construction)'!S73+'Balance Sheet'!$I$50/24,+'WC (construction)'!R73+('Balance Sheet'!$I$50/24))+S47</f>
        <v>38637.791666666664</v>
      </c>
      <c r="T33" s="105">
        <f>+IF($C$6=0,'WC (construction)'!T73+'Balance Sheet'!$I$50/24,+'WC (construction)'!S73+('Balance Sheet'!$I$50/24))+T47</f>
        <v>40887.791666666664</v>
      </c>
      <c r="U33" s="105">
        <f>+IF($C$6=0,'WC (construction)'!U73+'Balance Sheet'!$I$50/24,+'WC (construction)'!T73+('Balance Sheet'!$I$50/24))+U47</f>
        <v>41747.791666666664</v>
      </c>
      <c r="V33" s="105">
        <f>+IF($C$6=0,'WC (construction)'!V73+'Balance Sheet'!$I$50/24,+'WC (construction)'!U73+('Balance Sheet'!$I$50/24))+V47</f>
        <v>42607.791666666664</v>
      </c>
      <c r="W33" s="105">
        <f>+IF($C$6=0,'WC (construction)'!W73+'Balance Sheet'!$I$50/24,+'WC (construction)'!V73+('Balance Sheet'!$I$50/24))+W47</f>
        <v>43647.791666666664</v>
      </c>
      <c r="X33" s="105">
        <f>+IF($C$6=0,'WC (construction)'!X73+'Balance Sheet'!$I$50/24,+'WC (construction)'!W73+('Balance Sheet'!$I$50/24))+X47</f>
        <v>49037.791666666664</v>
      </c>
      <c r="Y33" s="105">
        <f>+IF($C$6=0,'WC (construction)'!Y73+'Balance Sheet'!$I$50/24,+'WC (construction)'!X73+('Balance Sheet'!$I$50/24))+Y47</f>
        <v>49944.416666666664</v>
      </c>
      <c r="Z33" s="105">
        <f>+IF($C$6=0,'WC (construction)'!Z73+'Balance Sheet'!$I$50/24,+'WC (construction)'!Y73+('Balance Sheet'!$I$50/24))+Z47</f>
        <v>51314.416666666664</v>
      </c>
      <c r="AA33" s="105">
        <f>+IF($C$6=0,'WC (construction)'!AA73+'Balance Sheet'!$I$50/24,+'WC (construction)'!Z73+('Balance Sheet'!$I$50/24))+AA47</f>
        <v>52384.416666666664</v>
      </c>
      <c r="AB33" s="105">
        <f>+IF($C$6=0,'WC (construction)'!AB73+'Balance Sheet'!$I$50/24,+'WC (construction)'!AA73+('Balance Sheet'!$I$50/24))+AB47</f>
        <v>53554.416666666664</v>
      </c>
      <c r="AC33" s="106">
        <f>+IF($C$6=0,'WC (construction)'!AC73+'Balance Sheet'!$I$50/24,+'WC (construction)'!AB73+('Balance Sheet'!$I$50/24))+AC47</f>
        <v>54971.041666666664</v>
      </c>
      <c r="AD33" s="104">
        <f>+IF($C$6=0,'WC (construction)'!AD73,'WC (construction)'!AC73)+AD47</f>
        <v>81957.375</v>
      </c>
      <c r="AE33" s="105">
        <f>+IF($C$6=0,'WC (construction)'!AE73,'WC (construction)'!AD73)+AE47</f>
        <v>83387.375</v>
      </c>
      <c r="AF33" s="105">
        <f>+IF($C$6=0,'WC (construction)'!AF73,'WC (construction)'!AE73)+AF47</f>
        <v>84934</v>
      </c>
      <c r="AG33" s="105">
        <f>+IF($C$6=0,'WC (construction)'!AG73,'WC (construction)'!AF73)+AG47</f>
        <v>86194</v>
      </c>
      <c r="AH33" s="105">
        <f>+IF($C$6=0,'WC (construction)'!AH73,'WC (construction)'!AG73)+AH47</f>
        <v>87904</v>
      </c>
      <c r="AI33" s="105">
        <f>+IF($C$6=0,'WC (construction)'!AI73,'WC (construction)'!AH73)+AI47</f>
        <v>89510.625</v>
      </c>
      <c r="AJ33" s="105">
        <f>+IF($C$6=0,'WC (construction)'!AJ73,'WC (construction)'!AI73)+AJ47</f>
        <v>91280.625</v>
      </c>
      <c r="AK33" s="105">
        <f>+IF($C$6=0,'WC (construction)'!AK73,'WC (construction)'!AJ73)+AK47</f>
        <v>93050.625</v>
      </c>
      <c r="AL33" s="105">
        <f>+IF($C$6=0,'WC (construction)'!AL73,'WC (construction)'!AK73)+AL47</f>
        <v>95167.25</v>
      </c>
      <c r="AM33" s="105">
        <f>+IF($C$6=0,'WC (construction)'!AM73,'WC (construction)'!AL73)+AM47</f>
        <v>96997.25</v>
      </c>
      <c r="AN33" s="105">
        <f>+IF($C$6=0,'WC (construction)'!AN73,'WC (construction)'!AM73)+AN47</f>
        <v>99407.25</v>
      </c>
      <c r="AO33" s="106">
        <f>+IF($C$6=0,'WC (construction)'!AO73,'WC (construction)'!AN73)+AO47</f>
        <v>101397.25</v>
      </c>
      <c r="AP33" s="104">
        <f>+IF($C$6=0,'WC (construction)'!AP73,'WC (construction)'!AO73)+AP47</f>
        <v>139306.125</v>
      </c>
      <c r="AQ33" s="105">
        <f>+IF($C$6=0,'WC (construction)'!AQ73,'WC (construction)'!AP73)+AQ47</f>
        <v>141822.75</v>
      </c>
      <c r="AR33" s="105">
        <f>+IF($C$6=0,'WC (construction)'!AR73,'WC (construction)'!AQ73)+AR47</f>
        <v>144352.75</v>
      </c>
      <c r="AS33" s="105">
        <f>+IF($C$6=0,'WC (construction)'!AS73,'WC (construction)'!AR73)+AS47</f>
        <v>147362.75</v>
      </c>
      <c r="AT33" s="105">
        <f>+IF($C$6=0,'WC (construction)'!AT73,'WC (construction)'!AS73)+AT47</f>
        <v>150166</v>
      </c>
      <c r="AU33" s="105">
        <f>+IF($C$6=0,'WC (construction)'!AU73,'WC (construction)'!AT73)+AU47</f>
        <v>153316</v>
      </c>
      <c r="AV33" s="105">
        <f>+IF($C$6=0,'WC (construction)'!AV73,'WC (construction)'!AU73)+AV47</f>
        <v>168775</v>
      </c>
      <c r="AW33" s="105">
        <f>+IF($C$6=0,'WC (construction)'!AW73,'WC (construction)'!AV73)+AW47</f>
        <v>172231.625</v>
      </c>
      <c r="AX33" s="105">
        <f>+IF($C$6=0,'WC (construction)'!AX73,'WC (construction)'!AW73)+AX47</f>
        <v>176098.25</v>
      </c>
      <c r="AY33" s="105">
        <f>+IF($C$6=0,'WC (construction)'!AY73,'WC (construction)'!AX73)+AY47</f>
        <v>179928.25</v>
      </c>
      <c r="AZ33" s="105">
        <f>+IF($C$6=0,'WC (construction)'!AZ73,'WC (construction)'!AY73)+AZ47</f>
        <v>183984.875</v>
      </c>
      <c r="BA33" s="106">
        <f>+IF($C$6=0,'WC (construction)'!BA73,'WC (construction)'!AZ73)+BA47</f>
        <v>188234.875</v>
      </c>
      <c r="BB33" s="104">
        <f>+IF($C$6=0,'WC (construction)'!BB73,'WC (construction)'!BA73)+BB47</f>
        <v>240891.34999999998</v>
      </c>
      <c r="BC33" s="105">
        <f>+IF($C$6=0,'WC (construction)'!BC73,'WC (construction)'!BB73)+BC47</f>
        <v>245594.59999999998</v>
      </c>
      <c r="BD33" s="105">
        <f>+IF($C$6=0,'WC (construction)'!BD73,'WC (construction)'!BC73)+BD47</f>
        <v>250824.59999999998</v>
      </c>
      <c r="BE33" s="105">
        <f>+IF($C$6=0,'WC (construction)'!BE73,'WC (construction)'!BD73)+BE47</f>
        <v>255881.22499999998</v>
      </c>
      <c r="BF33" s="105">
        <f>+IF($C$6=0,'WC (construction)'!BF73,'WC (construction)'!BE73)+BF47</f>
        <v>262124.47499999998</v>
      </c>
      <c r="BG33" s="105">
        <f>+IF($C$6=0,'WC (construction)'!BG73,'WC (construction)'!BF73)+BG47</f>
        <v>267944.475</v>
      </c>
      <c r="BH33" s="105">
        <f>+IF($C$6=0,'WC (construction)'!BH73,'WC (construction)'!BG73)+BH47</f>
        <v>286688.725</v>
      </c>
      <c r="BI33" s="105">
        <f>+IF($C$6=0,'WC (construction)'!BI73,'WC (construction)'!BH73)+BI47</f>
        <v>293405.35</v>
      </c>
      <c r="BJ33" s="105">
        <f>+IF($C$6=0,'WC (construction)'!BJ73,'WC (construction)'!BI73)+BJ47</f>
        <v>300595.35</v>
      </c>
      <c r="BK33" s="105">
        <f>+IF($C$6=0,'WC (construction)'!BK73,'WC (construction)'!BJ73)+BK47</f>
        <v>308208.6</v>
      </c>
      <c r="BL33" s="105">
        <f>+IF($C$6=0,'WC (construction)'!BL73,'WC (construction)'!BK73)+BL47</f>
        <v>315845.225</v>
      </c>
      <c r="BM33" s="106">
        <f>+IF($C$6=0,'WC (construction)'!BM73,'WC (construction)'!BL73)+BM47</f>
        <v>324485.225</v>
      </c>
    </row>
    <row r="34" spans="2:65" s="101" customFormat="1" ht="31.95" customHeight="1">
      <c r="B34" s="107" t="s">
        <v>316</v>
      </c>
      <c r="C34" s="105"/>
      <c r="D34" s="105"/>
      <c r="E34" s="106">
        <f>+'Balance Sheet'!I50</f>
        <v>811</v>
      </c>
      <c r="F34" s="104">
        <f>+E34+F44+F47-F33</f>
        <v>777.2083333333334</v>
      </c>
      <c r="G34" s="105">
        <f aca="true" t="shared" si="1" ref="G34:BM34">+F34+G44+G47-G33</f>
        <v>743.4166666666667</v>
      </c>
      <c r="H34" s="105">
        <f t="shared" si="1"/>
        <v>709.6250000000001</v>
      </c>
      <c r="I34" s="105">
        <f t="shared" si="1"/>
        <v>675.8333333333335</v>
      </c>
      <c r="J34" s="105">
        <f t="shared" si="1"/>
        <v>642.0416666666669</v>
      </c>
      <c r="K34" s="105">
        <f t="shared" si="1"/>
        <v>608.25</v>
      </c>
      <c r="L34" s="105">
        <f t="shared" si="1"/>
        <v>574.4583333333335</v>
      </c>
      <c r="M34" s="105">
        <f t="shared" si="1"/>
        <v>540.6666666666669</v>
      </c>
      <c r="N34" s="105">
        <f t="shared" si="1"/>
        <v>506.87500000000017</v>
      </c>
      <c r="O34" s="105">
        <f t="shared" si="1"/>
        <v>473.08333333333394</v>
      </c>
      <c r="P34" s="105">
        <f t="shared" si="1"/>
        <v>439.2916666666679</v>
      </c>
      <c r="Q34" s="106">
        <f t="shared" si="1"/>
        <v>405.5</v>
      </c>
      <c r="R34" s="104">
        <f t="shared" si="1"/>
        <v>371.70833333333576</v>
      </c>
      <c r="S34" s="105">
        <f t="shared" si="1"/>
        <v>337.9166666666715</v>
      </c>
      <c r="T34" s="105">
        <f t="shared" si="1"/>
        <v>304.1250000000073</v>
      </c>
      <c r="U34" s="105">
        <f t="shared" si="1"/>
        <v>270.33333333334303</v>
      </c>
      <c r="V34" s="105">
        <f t="shared" si="1"/>
        <v>236.5416666666788</v>
      </c>
      <c r="W34" s="105">
        <f t="shared" si="1"/>
        <v>202.75000000001455</v>
      </c>
      <c r="X34" s="105">
        <f t="shared" si="1"/>
        <v>168.9583333333503</v>
      </c>
      <c r="Y34" s="105">
        <f t="shared" si="1"/>
        <v>135.16666666668607</v>
      </c>
      <c r="Z34" s="105">
        <f t="shared" si="1"/>
        <v>101.37500000002183</v>
      </c>
      <c r="AA34" s="105">
        <f t="shared" si="1"/>
        <v>67.58333333335759</v>
      </c>
      <c r="AB34" s="105">
        <f t="shared" si="1"/>
        <v>33.791666666693345</v>
      </c>
      <c r="AC34" s="106">
        <f t="shared" si="1"/>
        <v>0</v>
      </c>
      <c r="AD34" s="104">
        <f>+AC34+AD44+AD47-AD33</f>
        <v>0</v>
      </c>
      <c r="AE34" s="105">
        <f t="shared" si="1"/>
        <v>0</v>
      </c>
      <c r="AF34" s="105">
        <f t="shared" si="1"/>
        <v>0</v>
      </c>
      <c r="AG34" s="105">
        <f t="shared" si="1"/>
        <v>0</v>
      </c>
      <c r="AH34" s="105">
        <f t="shared" si="1"/>
        <v>0</v>
      </c>
      <c r="AI34" s="105">
        <f t="shared" si="1"/>
        <v>0</v>
      </c>
      <c r="AJ34" s="105">
        <f t="shared" si="1"/>
        <v>0</v>
      </c>
      <c r="AK34" s="105">
        <f t="shared" si="1"/>
        <v>0</v>
      </c>
      <c r="AL34" s="105">
        <f t="shared" si="1"/>
        <v>0</v>
      </c>
      <c r="AM34" s="105">
        <f t="shared" si="1"/>
        <v>0</v>
      </c>
      <c r="AN34" s="105">
        <f t="shared" si="1"/>
        <v>0</v>
      </c>
      <c r="AO34" s="106">
        <f t="shared" si="1"/>
        <v>0</v>
      </c>
      <c r="AP34" s="104">
        <f t="shared" si="1"/>
        <v>0</v>
      </c>
      <c r="AQ34" s="105">
        <f t="shared" si="1"/>
        <v>0</v>
      </c>
      <c r="AR34" s="105">
        <f t="shared" si="1"/>
        <v>0</v>
      </c>
      <c r="AS34" s="105">
        <f t="shared" si="1"/>
        <v>0</v>
      </c>
      <c r="AT34" s="105">
        <f t="shared" si="1"/>
        <v>0</v>
      </c>
      <c r="AU34" s="105">
        <f t="shared" si="1"/>
        <v>0</v>
      </c>
      <c r="AV34" s="105">
        <f t="shared" si="1"/>
        <v>0</v>
      </c>
      <c r="AW34" s="105">
        <f t="shared" si="1"/>
        <v>0</v>
      </c>
      <c r="AX34" s="105">
        <f t="shared" si="1"/>
        <v>0</v>
      </c>
      <c r="AY34" s="105">
        <f t="shared" si="1"/>
        <v>0</v>
      </c>
      <c r="AZ34" s="105">
        <f t="shared" si="1"/>
        <v>0</v>
      </c>
      <c r="BA34" s="106">
        <f t="shared" si="1"/>
        <v>0</v>
      </c>
      <c r="BB34" s="104">
        <f t="shared" si="1"/>
        <v>0</v>
      </c>
      <c r="BC34" s="105">
        <f t="shared" si="1"/>
        <v>0</v>
      </c>
      <c r="BD34" s="105">
        <f t="shared" si="1"/>
        <v>0</v>
      </c>
      <c r="BE34" s="105">
        <f t="shared" si="1"/>
        <v>0</v>
      </c>
      <c r="BF34" s="105">
        <f t="shared" si="1"/>
        <v>0</v>
      </c>
      <c r="BG34" s="105">
        <f t="shared" si="1"/>
        <v>0</v>
      </c>
      <c r="BH34" s="105">
        <f t="shared" si="1"/>
        <v>0</v>
      </c>
      <c r="BI34" s="105">
        <f t="shared" si="1"/>
        <v>0</v>
      </c>
      <c r="BJ34" s="105">
        <f t="shared" si="1"/>
        <v>0</v>
      </c>
      <c r="BK34" s="105">
        <f t="shared" si="1"/>
        <v>0</v>
      </c>
      <c r="BL34" s="105">
        <f t="shared" si="1"/>
        <v>0</v>
      </c>
      <c r="BM34" s="106">
        <f t="shared" si="1"/>
        <v>0</v>
      </c>
    </row>
    <row r="35" spans="2:65" s="101" customFormat="1" ht="30" customHeight="1">
      <c r="B35" s="107" t="s">
        <v>215</v>
      </c>
      <c r="C35" s="105"/>
      <c r="D35" s="105"/>
      <c r="E35" s="106"/>
      <c r="F35" s="104">
        <f>+IF($C$11=0,'WC (construction)'!F334+('Balance Sheet'!$S$42/24),('Balance Sheet'!$S$42/24))+F53</f>
        <v>7375.141331275723</v>
      </c>
      <c r="G35" s="105">
        <f>+IF($C$11=0,'WC (construction)'!G334+('Balance Sheet'!$S$42/24),+'WC (construction)'!F334+('Balance Sheet'!$S$42/24))+G53</f>
        <v>4375.141331275723</v>
      </c>
      <c r="H35" s="105">
        <f>+IF($C$11=0,'WC (construction)'!H334+('Balance Sheet'!$S$42/24),+'WC (construction)'!G334+('Balance Sheet'!$S$42/24))+H53</f>
        <v>3367.1925814814813</v>
      </c>
      <c r="I35" s="105">
        <f>+IF($C$11=0,'WC (construction)'!I334+('Balance Sheet'!$S$42/24),+'WC (construction)'!H334+('Balance Sheet'!$S$42/24))+I53</f>
        <v>3117.442222222222</v>
      </c>
      <c r="J35" s="105">
        <f>+IF($C$11=0,'WC (construction)'!J334+('Balance Sheet'!$S$42/24),+'WC (construction)'!I334+('Balance Sheet'!$S$42/24))+J53</f>
        <v>2366.8141703703704</v>
      </c>
      <c r="K35" s="105">
        <f>+IF($C$11=0,'WC (construction)'!K334+('Balance Sheet'!$S$42/24),+'WC (construction)'!J334+('Balance Sheet'!$S$42/24))+K53</f>
        <v>8766.99417037037</v>
      </c>
      <c r="L35" s="105">
        <f>+IF($C$11=0,'WC (construction)'!L334+('Balance Sheet'!$S$42/24),+'WC (construction)'!K334+('Balance Sheet'!$S$42/24))+L53</f>
        <v>4117.04877037037</v>
      </c>
      <c r="M35" s="105">
        <f>+IF($C$11=0,'WC (construction)'!M334+('Balance Sheet'!$S$42/24),+'WC (construction)'!L334+('Balance Sheet'!$S$42/24))+M53</f>
        <v>1617.1287703703704</v>
      </c>
      <c r="N35" s="105">
        <f>+IF($C$11=0,'WC (construction)'!N334+('Balance Sheet'!$S$42/24),+'WC (construction)'!M334+('Balance Sheet'!$S$42/24))+N53</f>
        <v>7674.938271604939</v>
      </c>
      <c r="O35" s="105">
        <f>+IF($C$11=0,'WC (construction)'!O334+('Balance Sheet'!$S$42/24),+'WC (construction)'!N334+('Balance Sheet'!$S$42/24))+O53</f>
        <v>39897.630895061724</v>
      </c>
      <c r="P35" s="105">
        <f>+IF($C$11=0,'WC (construction)'!P334+('Balance Sheet'!$S$42/24),+'WC (construction)'!O334+('Balance Sheet'!$S$42/24))+P53</f>
        <v>30331.51089506173</v>
      </c>
      <c r="Q35" s="106">
        <f>+IF($C$11=0,'WC (construction)'!Q334+('Balance Sheet'!$S$42/24),+'WC (construction)'!P334+('Balance Sheet'!$S$42/24))+Q53</f>
        <v>30537.600895061725</v>
      </c>
      <c r="R35" s="104">
        <f>+IF($C$11=0,'WC (construction)'!R334+('Balance Sheet'!$S$42/24),+'WC (construction)'!Q334+('Balance Sheet'!$S$42/24))+R53</f>
        <v>73648.77279012345</v>
      </c>
      <c r="S35" s="105">
        <f>+IF($C$11=0,'WC (construction)'!S334+('Balance Sheet'!$S$42/24),+'WC (construction)'!R334+('Balance Sheet'!$S$42/24))+S53</f>
        <v>50104.21279012345</v>
      </c>
      <c r="T35" s="105">
        <f>+IF($C$11=0,'WC (construction)'!T334+('Balance Sheet'!$S$42/24),+'WC (construction)'!S334+('Balance Sheet'!$S$42/24))+T53</f>
        <v>50585.71279012345</v>
      </c>
      <c r="U35" s="105">
        <f>+IF($C$11=0,'WC (construction)'!U334+('Balance Sheet'!$S$42/24),+'WC (construction)'!T334+('Balance Sheet'!$S$42/24))+U53</f>
        <v>50777.75279012346</v>
      </c>
      <c r="V35" s="105">
        <f>+IF($C$11=0,'WC (construction)'!V334+('Balance Sheet'!$S$42/24),+'WC (construction)'!U334+('Balance Sheet'!$S$42/24))+V53</f>
        <v>50969.79279012345</v>
      </c>
      <c r="W35" s="105">
        <f>+IF($C$11=0,'WC (construction)'!W334+('Balance Sheet'!$S$42/24),+'WC (construction)'!V334+('Balance Sheet'!$S$42/24))+W53</f>
        <v>51164.35279012345</v>
      </c>
      <c r="X35" s="105">
        <f>+IF($C$11=0,'WC (construction)'!X334+('Balance Sheet'!$S$42/24),+'WC (construction)'!W334+('Balance Sheet'!$S$42/24))+X53</f>
        <v>54869.812790123455</v>
      </c>
      <c r="Y35" s="105">
        <f>+IF($C$11=0,'WC (construction)'!Y334+('Balance Sheet'!$S$42/24),+'WC (construction)'!X334+('Balance Sheet'!$S$42/24))+Y53</f>
        <v>55067.50554012346</v>
      </c>
      <c r="Z35" s="105">
        <f>+IF($C$11=0,'WC (construction)'!Z334+('Balance Sheet'!$S$42/24),+'WC (construction)'!Y334+('Balance Sheet'!$S$42/24))+Z53</f>
        <v>55316.68554012345</v>
      </c>
      <c r="AA35" s="105">
        <f>+IF($C$11=0,'WC (construction)'!AA334+('Balance Sheet'!$S$42/24),+'WC (construction)'!Z334+('Balance Sheet'!$S$42/24))+AA53</f>
        <v>55511.66554012346</v>
      </c>
      <c r="AB35" s="105">
        <f>+IF($C$11=0,'WC (construction)'!AB334+('Balance Sheet'!$S$42/24),+'WC (construction)'!AA334+('Balance Sheet'!$S$42/24))+AB53</f>
        <v>55758.04554012345</v>
      </c>
      <c r="AC35" s="106">
        <f>+IF($C$11=0,'WC (construction)'!AC334+('Balance Sheet'!$S$42/24),+'WC (construction)'!AB334+('Balance Sheet'!$S$42/24))+AC53</f>
        <v>56012.87829012345</v>
      </c>
      <c r="AD35" s="104">
        <f>+IF($C$11=0,'WC (construction)'!AD334,('WC (construction)'!AC334))+AD53</f>
        <v>125982.22022530861</v>
      </c>
      <c r="AE35" s="105">
        <f>+IF($C$11=0,'WC (construction)'!AE334,('WC (construction)'!AD334))+AE53</f>
        <v>91232.24022530863</v>
      </c>
      <c r="AF35" s="105">
        <f>+IF($C$11=0,'WC (construction)'!AF334,('WC (construction)'!AE334))+AF53</f>
        <v>91538.89297530864</v>
      </c>
      <c r="AG35" s="105">
        <f>+IF($C$11=0,'WC (construction)'!AG334,('WC (construction)'!AF334))+AG53</f>
        <v>91786.53297530863</v>
      </c>
      <c r="AH35" s="105">
        <f>+IF($C$11=0,'WC (construction)'!AH334,('WC (construction)'!AG334))+AH53</f>
        <v>92090.47297530863</v>
      </c>
      <c r="AI35" s="105">
        <f>+IF($C$11=0,'WC (construction)'!AI334,('WC (construction)'!AH334))+AI53</f>
        <v>92397.96572530863</v>
      </c>
      <c r="AJ35" s="105">
        <f>+IF($C$11=0,'WC (construction)'!AJ334,('WC (construction)'!AI334))+AJ53</f>
        <v>92702.74572530863</v>
      </c>
      <c r="AK35" s="105">
        <f>+IF($C$11=0,'WC (construction)'!AK334,('WC (construction)'!AJ334))+AK53</f>
        <v>93007.52572530863</v>
      </c>
      <c r="AL35" s="105">
        <f>+IF($C$11=0,'WC (construction)'!AL334,('WC (construction)'!AK334))+AL53</f>
        <v>93372.15847530862</v>
      </c>
      <c r="AM35" s="105">
        <f>+IF($C$11=0,'WC (construction)'!AM334,('WC (construction)'!AL334))+AM53</f>
        <v>93677.77847530862</v>
      </c>
      <c r="AN35" s="105">
        <f>+IF($C$11=0,'WC (construction)'!AN334,('WC (construction)'!AM334))+AN53</f>
        <v>94091.51847530864</v>
      </c>
      <c r="AO35" s="106">
        <f>+IF($C$11=0,'WC (construction)'!AO334,('WC (construction)'!AN334))+AO53</f>
        <v>94449.37847530862</v>
      </c>
      <c r="AP35" s="104">
        <f>+IF($C$11=0,'WC (construction)'!AP334,('WC (construction)'!AO334))+AP53</f>
        <v>173911.92525617284</v>
      </c>
      <c r="AQ35" s="105">
        <f>+IF($C$11=0,'WC (construction)'!AQ334,('WC (construction)'!AP334))+AQ53</f>
        <v>128332.15800617282</v>
      </c>
      <c r="AR35" s="105">
        <f>+IF($C$11=0,'WC (construction)'!AR334,('WC (construction)'!AQ334))+AR53</f>
        <v>128747.57800617283</v>
      </c>
      <c r="AS35" s="105">
        <f>+IF($C$11=0,'WC (construction)'!AS334,('WC (construction)'!AR334))+AS53</f>
        <v>129219.71800617283</v>
      </c>
      <c r="AT35" s="105">
        <f>+IF($C$11=0,'WC (construction)'!AT334,('WC (construction)'!AS334))+AT53</f>
        <v>129738.96350617283</v>
      </c>
      <c r="AU35" s="105">
        <f>+IF($C$11=0,'WC (construction)'!AU334,('WC (construction)'!AT334))+AU53</f>
        <v>130253.06350617282</v>
      </c>
      <c r="AV35" s="105">
        <f>+IF($C$11=0,'WC (construction)'!AV334,('WC (construction)'!AU334))+AV53</f>
        <v>138089.48950617283</v>
      </c>
      <c r="AW35" s="105">
        <f>+IF($C$11=0,'WC (construction)'!AW334,('WC (construction)'!AV334))+AW53</f>
        <v>138712.88225617283</v>
      </c>
      <c r="AX35" s="105">
        <f>+IF($C$11=0,'WC (construction)'!AX334,('WC (construction)'!AW334))+AX53</f>
        <v>139342.01500617282</v>
      </c>
      <c r="AY35" s="105">
        <f>+IF($C$11=0,'WC (construction)'!AY334,('WC (construction)'!AX334))+AY53</f>
        <v>139965.63500617282</v>
      </c>
      <c r="AZ35" s="105">
        <f>+IF($C$11=0,'WC (construction)'!AZ334,('WC (construction)'!AY334))+AZ53</f>
        <v>140647.42775617284</v>
      </c>
      <c r="BA35" s="106">
        <f>+IF($C$11=0,'WC (construction)'!BA334,('WC (construction)'!AZ334))+BA53</f>
        <v>141326.92775617284</v>
      </c>
      <c r="BB35" s="104">
        <f>+IF($C$11=0,'WC (construction)'!BB334,('WC (construction)'!BA334))+BB53</f>
        <v>239074.0506901234</v>
      </c>
      <c r="BC35" s="105">
        <f>+IF($C$11=0,'WC (construction)'!BC334,('WC (construction)'!BB334))+BC53</f>
        <v>192819.89619012346</v>
      </c>
      <c r="BD35" s="105">
        <f>+IF($C$11=0,'WC (construction)'!BD334,('WC (construction)'!BC334))+BD53</f>
        <v>193663.11619012343</v>
      </c>
      <c r="BE35" s="105">
        <f>+IF($C$11=0,'WC (construction)'!BE334,('WC (construction)'!BD334))+BE53</f>
        <v>194458.90894012345</v>
      </c>
      <c r="BF35" s="105">
        <f>+IF($C$11=0,'WC (construction)'!BF334,('WC (construction)'!BE334))+BF53</f>
        <v>195466.31444012345</v>
      </c>
      <c r="BG35" s="105">
        <f>+IF($C$11=0,'WC (construction)'!BG334,('WC (construction)'!BF334))+BG53</f>
        <v>196407.79444012343</v>
      </c>
      <c r="BH35" s="105">
        <f>+IF($C$11=0,'WC (construction)'!BH334,('WC (construction)'!BG334))+BH53</f>
        <v>204740.21394012345</v>
      </c>
      <c r="BI35" s="105">
        <f>+IF($C$11=0,'WC (construction)'!BI334,('WC (construction)'!BH334))+BI53</f>
        <v>205799.24669012346</v>
      </c>
      <c r="BJ35" s="105">
        <f>+IF($C$11=0,'WC (construction)'!BJ334,('WC (construction)'!BI334))+BJ53</f>
        <v>206959.90669012343</v>
      </c>
      <c r="BK35" s="105">
        <f>+IF($C$11=0,'WC (construction)'!BK334,('WC (construction)'!BJ334))+BK53</f>
        <v>208136.49219012342</v>
      </c>
      <c r="BL35" s="105">
        <f>+IF($C$11=0,'WC (construction)'!BL334,('WC (construction)'!BK334))+BL53</f>
        <v>209358.40494012344</v>
      </c>
      <c r="BM35" s="106">
        <f>+IF($C$11=0,'WC (construction)'!BM334,('WC (construction)'!BL334))+BM53</f>
        <v>210689.36494012346</v>
      </c>
    </row>
    <row r="36" spans="2:65" s="101" customFormat="1" ht="30" customHeight="1">
      <c r="B36" s="107" t="s">
        <v>317</v>
      </c>
      <c r="C36" s="105"/>
      <c r="D36" s="105"/>
      <c r="E36" s="106">
        <f>+'Balance Sheet'!S42</f>
        <v>2808</v>
      </c>
      <c r="F36" s="104">
        <f>+E36+F50+F53-F35</f>
        <v>2691</v>
      </c>
      <c r="G36" s="105">
        <f>+F36+G50+G53-G35</f>
        <v>2574</v>
      </c>
      <c r="H36" s="105">
        <f>+G36+H50+H53-H35</f>
        <v>2457</v>
      </c>
      <c r="I36" s="105">
        <f aca="true" t="shared" si="2" ref="I36:BM36">+H36+I50+I53-I35</f>
        <v>2340</v>
      </c>
      <c r="J36" s="105">
        <f t="shared" si="2"/>
        <v>2223</v>
      </c>
      <c r="K36" s="105">
        <f t="shared" si="2"/>
        <v>2106</v>
      </c>
      <c r="L36" s="105">
        <f t="shared" si="2"/>
        <v>1989</v>
      </c>
      <c r="M36" s="105">
        <f t="shared" si="2"/>
        <v>1871.9999999999998</v>
      </c>
      <c r="N36" s="105">
        <f t="shared" si="2"/>
        <v>1755</v>
      </c>
      <c r="O36" s="105">
        <f t="shared" si="2"/>
        <v>1638</v>
      </c>
      <c r="P36" s="105">
        <f t="shared" si="2"/>
        <v>1521</v>
      </c>
      <c r="Q36" s="106">
        <f t="shared" si="2"/>
        <v>1404</v>
      </c>
      <c r="R36" s="104">
        <f t="shared" si="2"/>
        <v>1287</v>
      </c>
      <c r="S36" s="105">
        <f t="shared" si="2"/>
        <v>1170</v>
      </c>
      <c r="T36" s="105">
        <f t="shared" si="2"/>
        <v>1053</v>
      </c>
      <c r="U36" s="105">
        <f t="shared" si="2"/>
        <v>936</v>
      </c>
      <c r="V36" s="105">
        <f t="shared" si="2"/>
        <v>819</v>
      </c>
      <c r="W36" s="105">
        <f t="shared" si="2"/>
        <v>702</v>
      </c>
      <c r="X36" s="105">
        <f t="shared" si="2"/>
        <v>585</v>
      </c>
      <c r="Y36" s="105">
        <f t="shared" si="2"/>
        <v>468</v>
      </c>
      <c r="Z36" s="105">
        <f t="shared" si="2"/>
        <v>351</v>
      </c>
      <c r="AA36" s="105">
        <f t="shared" si="2"/>
        <v>234</v>
      </c>
      <c r="AB36" s="105">
        <f t="shared" si="2"/>
        <v>117</v>
      </c>
      <c r="AC36" s="106">
        <f t="shared" si="2"/>
        <v>0</v>
      </c>
      <c r="AD36" s="104">
        <f t="shared" si="2"/>
        <v>0</v>
      </c>
      <c r="AE36" s="105">
        <f t="shared" si="2"/>
        <v>0</v>
      </c>
      <c r="AF36" s="105">
        <f t="shared" si="2"/>
        <v>0</v>
      </c>
      <c r="AG36" s="105">
        <f t="shared" si="2"/>
        <v>0</v>
      </c>
      <c r="AH36" s="105">
        <f t="shared" si="2"/>
        <v>0</v>
      </c>
      <c r="AI36" s="105">
        <f t="shared" si="2"/>
        <v>0</v>
      </c>
      <c r="AJ36" s="105">
        <f t="shared" si="2"/>
        <v>0</v>
      </c>
      <c r="AK36" s="105">
        <f t="shared" si="2"/>
        <v>0</v>
      </c>
      <c r="AL36" s="105">
        <f t="shared" si="2"/>
        <v>0</v>
      </c>
      <c r="AM36" s="105">
        <f t="shared" si="2"/>
        <v>0</v>
      </c>
      <c r="AN36" s="105">
        <f t="shared" si="2"/>
        <v>0</v>
      </c>
      <c r="AO36" s="106">
        <f t="shared" si="2"/>
        <v>0</v>
      </c>
      <c r="AP36" s="104">
        <f t="shared" si="2"/>
        <v>0</v>
      </c>
      <c r="AQ36" s="105">
        <f t="shared" si="2"/>
        <v>0</v>
      </c>
      <c r="AR36" s="105">
        <f t="shared" si="2"/>
        <v>0</v>
      </c>
      <c r="AS36" s="105">
        <f t="shared" si="2"/>
        <v>0</v>
      </c>
      <c r="AT36" s="105">
        <f t="shared" si="2"/>
        <v>0</v>
      </c>
      <c r="AU36" s="105">
        <f t="shared" si="2"/>
        <v>0</v>
      </c>
      <c r="AV36" s="105">
        <f t="shared" si="2"/>
        <v>0</v>
      </c>
      <c r="AW36" s="105">
        <f t="shared" si="2"/>
        <v>0</v>
      </c>
      <c r="AX36" s="105">
        <f t="shared" si="2"/>
        <v>0</v>
      </c>
      <c r="AY36" s="105">
        <f t="shared" si="2"/>
        <v>0</v>
      </c>
      <c r="AZ36" s="105">
        <f t="shared" si="2"/>
        <v>0</v>
      </c>
      <c r="BA36" s="106">
        <f t="shared" si="2"/>
        <v>0</v>
      </c>
      <c r="BB36" s="104">
        <f t="shared" si="2"/>
        <v>0</v>
      </c>
      <c r="BC36" s="105">
        <f t="shared" si="2"/>
        <v>0</v>
      </c>
      <c r="BD36" s="105">
        <f t="shared" si="2"/>
        <v>0</v>
      </c>
      <c r="BE36" s="105">
        <f t="shared" si="2"/>
        <v>0</v>
      </c>
      <c r="BF36" s="105">
        <f t="shared" si="2"/>
        <v>0</v>
      </c>
      <c r="BG36" s="105">
        <f t="shared" si="2"/>
        <v>0</v>
      </c>
      <c r="BH36" s="105">
        <f t="shared" si="2"/>
        <v>0</v>
      </c>
      <c r="BI36" s="105">
        <f t="shared" si="2"/>
        <v>0</v>
      </c>
      <c r="BJ36" s="105">
        <f t="shared" si="2"/>
        <v>0</v>
      </c>
      <c r="BK36" s="105">
        <f t="shared" si="2"/>
        <v>0</v>
      </c>
      <c r="BL36" s="105">
        <f t="shared" si="2"/>
        <v>0</v>
      </c>
      <c r="BM36" s="106">
        <f t="shared" si="2"/>
        <v>0</v>
      </c>
    </row>
    <row r="37" spans="2:65" s="101" customFormat="1" ht="30" customHeight="1">
      <c r="B37" s="107" t="s">
        <v>53</v>
      </c>
      <c r="C37" s="105">
        <v>0</v>
      </c>
      <c r="D37" s="105">
        <v>0</v>
      </c>
      <c r="E37" s="106">
        <f>+'Balance Sheet'!I46</f>
        <v>0</v>
      </c>
      <c r="F37" s="104">
        <v>0</v>
      </c>
      <c r="G37" s="105">
        <v>0</v>
      </c>
      <c r="H37" s="105">
        <v>0</v>
      </c>
      <c r="I37" s="105">
        <v>0</v>
      </c>
      <c r="J37" s="105">
        <v>0</v>
      </c>
      <c r="K37" s="105">
        <v>0</v>
      </c>
      <c r="L37" s="105">
        <v>0</v>
      </c>
      <c r="M37" s="105">
        <v>0</v>
      </c>
      <c r="N37" s="105">
        <v>0</v>
      </c>
      <c r="O37" s="105">
        <v>0</v>
      </c>
      <c r="P37" s="105">
        <v>0</v>
      </c>
      <c r="Q37" s="106">
        <v>0</v>
      </c>
      <c r="R37" s="104">
        <f>+R69*Assumptions!$E$55</f>
        <v>0</v>
      </c>
      <c r="S37" s="105">
        <f>+S69*Assumptions!$E$55</f>
        <v>0</v>
      </c>
      <c r="T37" s="105">
        <f>T69*Assumptions!$E$55</f>
        <v>0</v>
      </c>
      <c r="U37" s="105">
        <f>U69*Assumptions!$E$55</f>
        <v>0</v>
      </c>
      <c r="V37" s="105">
        <f>V69*Assumptions!$E$55</f>
        <v>0</v>
      </c>
      <c r="W37" s="105">
        <f>W69*Assumptions!$E$55</f>
        <v>0</v>
      </c>
      <c r="X37" s="105">
        <f>X69*Assumptions!$E$55</f>
        <v>0</v>
      </c>
      <c r="Y37" s="105">
        <f>Y69*Assumptions!$E$55</f>
        <v>0</v>
      </c>
      <c r="Z37" s="105">
        <f>Z69*Assumptions!$E$55</f>
        <v>0</v>
      </c>
      <c r="AA37" s="105">
        <f>AA69*Assumptions!$E$55</f>
        <v>0</v>
      </c>
      <c r="AB37" s="105">
        <f>AB69*Assumptions!$E$55</f>
        <v>0</v>
      </c>
      <c r="AC37" s="106">
        <f>AC69*Assumptions!$E$55</f>
        <v>0</v>
      </c>
      <c r="AD37" s="104">
        <f>+AD69*Assumptions!$F$55</f>
        <v>0</v>
      </c>
      <c r="AE37" s="105">
        <f>+AE69*Assumptions!$F$55</f>
        <v>0</v>
      </c>
      <c r="AF37" s="105">
        <f>+AF69*Assumptions!$F$55</f>
        <v>0</v>
      </c>
      <c r="AG37" s="105">
        <f>+AG69*Assumptions!$F$55</f>
        <v>0</v>
      </c>
      <c r="AH37" s="105">
        <f>+AH69*Assumptions!$F$55</f>
        <v>0</v>
      </c>
      <c r="AI37" s="105">
        <f>+AI69*Assumptions!$F$55</f>
        <v>0</v>
      </c>
      <c r="AJ37" s="105">
        <f>+AJ69*Assumptions!$F$55</f>
        <v>0</v>
      </c>
      <c r="AK37" s="105">
        <f>+AK69*Assumptions!$F$55</f>
        <v>0</v>
      </c>
      <c r="AL37" s="105">
        <f>+AL69*Assumptions!$F$55</f>
        <v>0</v>
      </c>
      <c r="AM37" s="105">
        <f>+AM69*Assumptions!$F$55</f>
        <v>0</v>
      </c>
      <c r="AN37" s="105">
        <f>+AN69*Assumptions!$F$55</f>
        <v>0</v>
      </c>
      <c r="AO37" s="106">
        <f>+AO69*Assumptions!$F$55</f>
        <v>0</v>
      </c>
      <c r="AP37" s="104">
        <f>+AP69*Assumptions!$G$55</f>
        <v>0</v>
      </c>
      <c r="AQ37" s="105">
        <f>+AQ69*Assumptions!$G$55</f>
        <v>0</v>
      </c>
      <c r="AR37" s="105">
        <f>+AR69*Assumptions!$G$55</f>
        <v>0</v>
      </c>
      <c r="AS37" s="105">
        <f>+AS69*Assumptions!$G$55</f>
        <v>0</v>
      </c>
      <c r="AT37" s="105">
        <f>+AT69*Assumptions!$G$55</f>
        <v>0</v>
      </c>
      <c r="AU37" s="105">
        <f>+AU69*Assumptions!$G$55</f>
        <v>0</v>
      </c>
      <c r="AV37" s="105">
        <f>+AV69*Assumptions!$G$55</f>
        <v>0</v>
      </c>
      <c r="AW37" s="105">
        <f>+AW69*Assumptions!$G$55</f>
        <v>0</v>
      </c>
      <c r="AX37" s="105">
        <f>+AX69*Assumptions!$G$55</f>
        <v>0</v>
      </c>
      <c r="AY37" s="105">
        <f>+AY69*Assumptions!$G$55</f>
        <v>0</v>
      </c>
      <c r="AZ37" s="105">
        <f>+AZ69*Assumptions!$G$55</f>
        <v>0</v>
      </c>
      <c r="BA37" s="106">
        <f>+BA69*Assumptions!$G$55</f>
        <v>0</v>
      </c>
      <c r="BB37" s="104">
        <f>+BB69*Assumptions!$H$55</f>
        <v>0</v>
      </c>
      <c r="BC37" s="105">
        <f>+BC69*Assumptions!$H$55</f>
        <v>0</v>
      </c>
      <c r="BD37" s="105">
        <f>+BD69*Assumptions!$H$55</f>
        <v>0</v>
      </c>
      <c r="BE37" s="105">
        <f>+BE69*Assumptions!$H$55</f>
        <v>0</v>
      </c>
      <c r="BF37" s="105">
        <f>+BF69*Assumptions!$H$55</f>
        <v>0</v>
      </c>
      <c r="BG37" s="105">
        <f>+BG69*Assumptions!$H$55</f>
        <v>0</v>
      </c>
      <c r="BH37" s="105">
        <f>+BH69*Assumptions!$H$55</f>
        <v>0</v>
      </c>
      <c r="BI37" s="105">
        <f>+BI69*Assumptions!$H$55</f>
        <v>0</v>
      </c>
      <c r="BJ37" s="105">
        <f>+BJ69*Assumptions!$H$55</f>
        <v>0</v>
      </c>
      <c r="BK37" s="105">
        <f>+BK69*Assumptions!$H$55</f>
        <v>0</v>
      </c>
      <c r="BL37" s="105">
        <f>+BL69*Assumptions!$H$55</f>
        <v>0</v>
      </c>
      <c r="BM37" s="106">
        <f>+BM69*Assumptions!$H$55</f>
        <v>0</v>
      </c>
    </row>
    <row r="38" spans="2:65" s="101" customFormat="1" ht="16.2" thickBot="1">
      <c r="B38" s="108" t="s">
        <v>54</v>
      </c>
      <c r="C38" s="110">
        <f aca="true" t="shared" si="3" ref="C38:AH38">+C33-C35+C37</f>
        <v>0</v>
      </c>
      <c r="D38" s="110">
        <f t="shared" si="3"/>
        <v>0</v>
      </c>
      <c r="E38" s="111">
        <f t="shared" si="3"/>
        <v>0</v>
      </c>
      <c r="F38" s="109">
        <f t="shared" si="3"/>
        <v>-7341.349664609056</v>
      </c>
      <c r="G38" s="110">
        <f t="shared" si="3"/>
        <v>-4341.349664609056</v>
      </c>
      <c r="H38" s="110">
        <f t="shared" si="3"/>
        <v>-3333.4009148148148</v>
      </c>
      <c r="I38" s="110">
        <f t="shared" si="3"/>
        <v>-3083.6505555555555</v>
      </c>
      <c r="J38" s="110">
        <f t="shared" si="3"/>
        <v>-2333.022503703704</v>
      </c>
      <c r="K38" s="110">
        <f t="shared" si="3"/>
        <v>-363.20250370370377</v>
      </c>
      <c r="L38" s="110">
        <f t="shared" si="3"/>
        <v>-1303.2571037037037</v>
      </c>
      <c r="M38" s="110">
        <f t="shared" si="3"/>
        <v>-1583.3371037037036</v>
      </c>
      <c r="N38" s="110">
        <f t="shared" si="3"/>
        <v>-7641.146604938272</v>
      </c>
      <c r="O38" s="110">
        <f t="shared" si="3"/>
        <v>-23835.08922839506</v>
      </c>
      <c r="P38" s="110">
        <f t="shared" si="3"/>
        <v>-11848.96922839506</v>
      </c>
      <c r="Q38" s="111">
        <f t="shared" si="3"/>
        <v>-11620.059228395057</v>
      </c>
      <c r="R38" s="109">
        <f t="shared" si="3"/>
        <v>-38970.98112345678</v>
      </c>
      <c r="S38" s="110">
        <f t="shared" si="3"/>
        <v>-11466.421123456785</v>
      </c>
      <c r="T38" s="110">
        <f t="shared" si="3"/>
        <v>-9697.921123456785</v>
      </c>
      <c r="U38" s="110">
        <f>+U33-U35+U37</f>
        <v>-9029.961123456793</v>
      </c>
      <c r="V38" s="110">
        <f t="shared" si="3"/>
        <v>-8362.001123456786</v>
      </c>
      <c r="W38" s="110">
        <f t="shared" si="3"/>
        <v>-7516.561123456784</v>
      </c>
      <c r="X38" s="110">
        <f t="shared" si="3"/>
        <v>-5832.0211234567905</v>
      </c>
      <c r="Y38" s="110">
        <f t="shared" si="3"/>
        <v>-5123.0888734567925</v>
      </c>
      <c r="Z38" s="110">
        <f t="shared" si="3"/>
        <v>-4002.2688734567855</v>
      </c>
      <c r="AA38" s="110">
        <f t="shared" si="3"/>
        <v>-3127.248873456796</v>
      </c>
      <c r="AB38" s="110">
        <f t="shared" si="3"/>
        <v>-2203.628873456786</v>
      </c>
      <c r="AC38" s="111">
        <f t="shared" si="3"/>
        <v>-1041.8366234567875</v>
      </c>
      <c r="AD38" s="109">
        <f t="shared" si="3"/>
        <v>-44024.845225308614</v>
      </c>
      <c r="AE38" s="110">
        <f t="shared" si="3"/>
        <v>-7844.865225308633</v>
      </c>
      <c r="AF38" s="110">
        <f t="shared" si="3"/>
        <v>-6604.892975308641</v>
      </c>
      <c r="AG38" s="110">
        <f t="shared" si="3"/>
        <v>-5592.532975308626</v>
      </c>
      <c r="AH38" s="110">
        <f t="shared" si="3"/>
        <v>-4186.4729753086285</v>
      </c>
      <c r="AI38" s="110">
        <f aca="true" t="shared" si="4" ref="AI38:BA38">+AI33-AI35+AI37</f>
        <v>-2887.3407253086334</v>
      </c>
      <c r="AJ38" s="110">
        <f t="shared" si="4"/>
        <v>-1422.1207253086322</v>
      </c>
      <c r="AK38" s="110">
        <f t="shared" si="4"/>
        <v>43.09927469136892</v>
      </c>
      <c r="AL38" s="110">
        <f t="shared" si="4"/>
        <v>1795.0915246913792</v>
      </c>
      <c r="AM38" s="110">
        <f t="shared" si="4"/>
        <v>3319.471524691384</v>
      </c>
      <c r="AN38" s="110">
        <f t="shared" si="4"/>
        <v>5315.731524691364</v>
      </c>
      <c r="AO38" s="111">
        <f t="shared" si="4"/>
        <v>6947.871524691378</v>
      </c>
      <c r="AP38" s="109">
        <f t="shared" si="4"/>
        <v>-34605.800256172835</v>
      </c>
      <c r="AQ38" s="110">
        <f t="shared" si="4"/>
        <v>13490.591993827184</v>
      </c>
      <c r="AR38" s="110">
        <f t="shared" si="4"/>
        <v>15605.17199382717</v>
      </c>
      <c r="AS38" s="110">
        <f t="shared" si="4"/>
        <v>18143.03199382717</v>
      </c>
      <c r="AT38" s="110">
        <f t="shared" si="4"/>
        <v>20427.036493827167</v>
      </c>
      <c r="AU38" s="110">
        <f t="shared" si="4"/>
        <v>23062.936493827176</v>
      </c>
      <c r="AV38" s="110">
        <f t="shared" si="4"/>
        <v>30685.51049382717</v>
      </c>
      <c r="AW38" s="110">
        <f t="shared" si="4"/>
        <v>33518.74274382717</v>
      </c>
      <c r="AX38" s="110">
        <f t="shared" si="4"/>
        <v>36756.23499382718</v>
      </c>
      <c r="AY38" s="110">
        <f t="shared" si="4"/>
        <v>39962.614993827185</v>
      </c>
      <c r="AZ38" s="110">
        <f t="shared" si="4"/>
        <v>43337.44724382716</v>
      </c>
      <c r="BA38" s="111">
        <f t="shared" si="4"/>
        <v>46907.94724382716</v>
      </c>
      <c r="BB38" s="109">
        <f aca="true" t="shared" si="5" ref="BB38">+BB33-BB35+BB37</f>
        <v>1817.2993098765728</v>
      </c>
      <c r="BC38" s="110">
        <f aca="true" t="shared" si="6" ref="BC38">+BC33-BC35+BC37</f>
        <v>52774.70380987652</v>
      </c>
      <c r="BD38" s="110">
        <f aca="true" t="shared" si="7" ref="BD38">+BD33-BD35+BD37</f>
        <v>57161.48380987655</v>
      </c>
      <c r="BE38" s="110">
        <f aca="true" t="shared" si="8" ref="BE38">+BE33-BE35+BE37</f>
        <v>61422.316059876524</v>
      </c>
      <c r="BF38" s="110">
        <f aca="true" t="shared" si="9" ref="BF38">+BF33-BF35+BF37</f>
        <v>66658.16055987653</v>
      </c>
      <c r="BG38" s="110">
        <f aca="true" t="shared" si="10" ref="BG38">+BG33-BG35+BG37</f>
        <v>71536.68055987655</v>
      </c>
      <c r="BH38" s="110">
        <f aca="true" t="shared" si="11" ref="BH38">+BH33-BH35+BH37</f>
        <v>81948.51105987653</v>
      </c>
      <c r="BI38" s="110">
        <f aca="true" t="shared" si="12" ref="BI38">+BI33-BI35+BI37</f>
        <v>87606.10330987652</v>
      </c>
      <c r="BJ38" s="110">
        <f aca="true" t="shared" si="13" ref="BJ38">+BJ33-BJ35+BJ37</f>
        <v>93635.44330987654</v>
      </c>
      <c r="BK38" s="110">
        <f aca="true" t="shared" si="14" ref="BK38">+BK33-BK35+BK37</f>
        <v>100072.10780987656</v>
      </c>
      <c r="BL38" s="110">
        <f aca="true" t="shared" si="15" ref="BL38">+BL33-BL35+BL37</f>
        <v>106486.82005987654</v>
      </c>
      <c r="BM38" s="111">
        <f aca="true" t="shared" si="16" ref="BM38">+BM33-BM35+BM37</f>
        <v>113795.86005987652</v>
      </c>
    </row>
    <row r="39" spans="27:29" ht="15.75">
      <c r="AA39" s="307"/>
      <c r="AC39" s="252"/>
    </row>
    <row r="40" spans="6:41" ht="16.2" thickBot="1">
      <c r="F40" s="409"/>
      <c r="G40" s="409"/>
      <c r="H40" s="409"/>
      <c r="I40" s="409"/>
      <c r="J40" s="409"/>
      <c r="K40" s="409"/>
      <c r="L40" s="409"/>
      <c r="M40" s="409"/>
      <c r="N40" s="409"/>
      <c r="O40" s="409"/>
      <c r="P40" s="409"/>
      <c r="Q40" s="409"/>
      <c r="R40" s="409"/>
      <c r="S40" s="409"/>
      <c r="T40" s="409"/>
      <c r="U40" s="307"/>
      <c r="V40" s="409"/>
      <c r="W40" s="409"/>
      <c r="AN40" s="307"/>
      <c r="AO40" s="307"/>
    </row>
    <row r="41" spans="2:65" s="52" customFormat="1" ht="34.95" customHeight="1">
      <c r="B41" s="1603" t="s">
        <v>55</v>
      </c>
      <c r="C41" s="1595">
        <f>+C30</f>
        <v>2019</v>
      </c>
      <c r="D41" s="1579"/>
      <c r="E41" s="1580"/>
      <c r="F41" s="1595">
        <f>1+C41</f>
        <v>2020</v>
      </c>
      <c r="G41" s="1579"/>
      <c r="H41" s="1579"/>
      <c r="I41" s="1579"/>
      <c r="J41" s="1579"/>
      <c r="K41" s="1579"/>
      <c r="L41" s="1579"/>
      <c r="M41" s="1579"/>
      <c r="N41" s="1579"/>
      <c r="O41" s="1579"/>
      <c r="P41" s="1579"/>
      <c r="Q41" s="1580"/>
      <c r="R41" s="1595">
        <f>1+F41</f>
        <v>2021</v>
      </c>
      <c r="S41" s="1579"/>
      <c r="T41" s="1579"/>
      <c r="U41" s="1579"/>
      <c r="V41" s="1579"/>
      <c r="W41" s="1579"/>
      <c r="X41" s="1579"/>
      <c r="Y41" s="1579"/>
      <c r="Z41" s="1579"/>
      <c r="AA41" s="1579"/>
      <c r="AB41" s="1579"/>
      <c r="AC41" s="1580"/>
      <c r="AD41" s="1595">
        <f>1+R41</f>
        <v>2022</v>
      </c>
      <c r="AE41" s="1579"/>
      <c r="AF41" s="1579"/>
      <c r="AG41" s="1579"/>
      <c r="AH41" s="1579"/>
      <c r="AI41" s="1579"/>
      <c r="AJ41" s="1579"/>
      <c r="AK41" s="1579"/>
      <c r="AL41" s="1579"/>
      <c r="AM41" s="1579"/>
      <c r="AN41" s="1579"/>
      <c r="AO41" s="1580"/>
      <c r="AP41" s="1595">
        <f>1+AD41</f>
        <v>2023</v>
      </c>
      <c r="AQ41" s="1579"/>
      <c r="AR41" s="1579"/>
      <c r="AS41" s="1579"/>
      <c r="AT41" s="1579"/>
      <c r="AU41" s="1579"/>
      <c r="AV41" s="1579"/>
      <c r="AW41" s="1579"/>
      <c r="AX41" s="1579"/>
      <c r="AY41" s="1579"/>
      <c r="AZ41" s="1579"/>
      <c r="BA41" s="1580"/>
      <c r="BB41" s="1595">
        <f>1+AP41</f>
        <v>2024</v>
      </c>
      <c r="BC41" s="1579"/>
      <c r="BD41" s="1579"/>
      <c r="BE41" s="1579"/>
      <c r="BF41" s="1579"/>
      <c r="BG41" s="1579"/>
      <c r="BH41" s="1579"/>
      <c r="BI41" s="1579"/>
      <c r="BJ41" s="1579"/>
      <c r="BK41" s="1579"/>
      <c r="BL41" s="1579"/>
      <c r="BM41" s="1580"/>
    </row>
    <row r="42" spans="2:65" s="52" customFormat="1" ht="16.2" thickBot="1">
      <c r="B42" s="1604"/>
      <c r="C42" s="1596"/>
      <c r="D42" s="1581"/>
      <c r="E42" s="1582"/>
      <c r="F42" s="1596"/>
      <c r="G42" s="1581"/>
      <c r="H42" s="1581"/>
      <c r="I42" s="1581"/>
      <c r="J42" s="1581"/>
      <c r="K42" s="1581"/>
      <c r="L42" s="1581"/>
      <c r="M42" s="1581"/>
      <c r="N42" s="1581"/>
      <c r="O42" s="1581"/>
      <c r="P42" s="1581"/>
      <c r="Q42" s="1582"/>
      <c r="R42" s="1596"/>
      <c r="S42" s="1581"/>
      <c r="T42" s="1581"/>
      <c r="U42" s="1581"/>
      <c r="V42" s="1581"/>
      <c r="W42" s="1581"/>
      <c r="X42" s="1581"/>
      <c r="Y42" s="1581"/>
      <c r="Z42" s="1581"/>
      <c r="AA42" s="1581"/>
      <c r="AB42" s="1581"/>
      <c r="AC42" s="1582"/>
      <c r="AD42" s="1596"/>
      <c r="AE42" s="1581"/>
      <c r="AF42" s="1581"/>
      <c r="AG42" s="1581"/>
      <c r="AH42" s="1581"/>
      <c r="AI42" s="1581"/>
      <c r="AJ42" s="1581"/>
      <c r="AK42" s="1581"/>
      <c r="AL42" s="1581"/>
      <c r="AM42" s="1581"/>
      <c r="AN42" s="1581"/>
      <c r="AO42" s="1582"/>
      <c r="AP42" s="1596"/>
      <c r="AQ42" s="1581"/>
      <c r="AR42" s="1581"/>
      <c r="AS42" s="1581"/>
      <c r="AT42" s="1581"/>
      <c r="AU42" s="1581"/>
      <c r="AV42" s="1581"/>
      <c r="AW42" s="1581"/>
      <c r="AX42" s="1581"/>
      <c r="AY42" s="1581"/>
      <c r="AZ42" s="1581"/>
      <c r="BA42" s="1582"/>
      <c r="BB42" s="1596"/>
      <c r="BC42" s="1581"/>
      <c r="BD42" s="1581"/>
      <c r="BE42" s="1581"/>
      <c r="BF42" s="1581"/>
      <c r="BG42" s="1581"/>
      <c r="BH42" s="1581"/>
      <c r="BI42" s="1581"/>
      <c r="BJ42" s="1581"/>
      <c r="BK42" s="1581"/>
      <c r="BL42" s="1581"/>
      <c r="BM42" s="1582"/>
    </row>
    <row r="43" spans="2:65" s="52" customFormat="1" ht="16.2" thickBot="1">
      <c r="B43" s="1605"/>
      <c r="C43" s="523" t="s">
        <v>195</v>
      </c>
      <c r="D43" s="275" t="s">
        <v>196</v>
      </c>
      <c r="E43" s="524" t="s">
        <v>197</v>
      </c>
      <c r="F43" s="274" t="s">
        <v>187</v>
      </c>
      <c r="G43" s="275" t="s">
        <v>188</v>
      </c>
      <c r="H43" s="275" t="s">
        <v>189</v>
      </c>
      <c r="I43" s="275" t="s">
        <v>190</v>
      </c>
      <c r="J43" s="275" t="s">
        <v>8</v>
      </c>
      <c r="K43" s="275" t="s">
        <v>191</v>
      </c>
      <c r="L43" s="275" t="s">
        <v>192</v>
      </c>
      <c r="M43" s="275" t="s">
        <v>193</v>
      </c>
      <c r="N43" s="275" t="s">
        <v>194</v>
      </c>
      <c r="O43" s="275" t="s">
        <v>195</v>
      </c>
      <c r="P43" s="275" t="s">
        <v>196</v>
      </c>
      <c r="Q43" s="276" t="s">
        <v>197</v>
      </c>
      <c r="R43" s="274" t="s">
        <v>187</v>
      </c>
      <c r="S43" s="275" t="s">
        <v>188</v>
      </c>
      <c r="T43" s="275" t="s">
        <v>189</v>
      </c>
      <c r="U43" s="275" t="s">
        <v>190</v>
      </c>
      <c r="V43" s="275" t="s">
        <v>8</v>
      </c>
      <c r="W43" s="275" t="s">
        <v>191</v>
      </c>
      <c r="X43" s="275" t="s">
        <v>192</v>
      </c>
      <c r="Y43" s="275" t="s">
        <v>193</v>
      </c>
      <c r="Z43" s="275" t="s">
        <v>194</v>
      </c>
      <c r="AA43" s="275" t="s">
        <v>195</v>
      </c>
      <c r="AB43" s="275" t="s">
        <v>196</v>
      </c>
      <c r="AC43" s="276" t="s">
        <v>197</v>
      </c>
      <c r="AD43" s="274" t="s">
        <v>187</v>
      </c>
      <c r="AE43" s="275" t="s">
        <v>188</v>
      </c>
      <c r="AF43" s="275" t="s">
        <v>189</v>
      </c>
      <c r="AG43" s="275" t="s">
        <v>190</v>
      </c>
      <c r="AH43" s="275" t="s">
        <v>8</v>
      </c>
      <c r="AI43" s="275" t="s">
        <v>191</v>
      </c>
      <c r="AJ43" s="275" t="s">
        <v>192</v>
      </c>
      <c r="AK43" s="275" t="s">
        <v>193</v>
      </c>
      <c r="AL43" s="275" t="s">
        <v>194</v>
      </c>
      <c r="AM43" s="275" t="s">
        <v>195</v>
      </c>
      <c r="AN43" s="275" t="s">
        <v>196</v>
      </c>
      <c r="AO43" s="276" t="s">
        <v>197</v>
      </c>
      <c r="AP43" s="274" t="s">
        <v>187</v>
      </c>
      <c r="AQ43" s="275" t="s">
        <v>188</v>
      </c>
      <c r="AR43" s="275" t="s">
        <v>189</v>
      </c>
      <c r="AS43" s="275" t="s">
        <v>190</v>
      </c>
      <c r="AT43" s="275" t="s">
        <v>8</v>
      </c>
      <c r="AU43" s="275" t="s">
        <v>191</v>
      </c>
      <c r="AV43" s="275" t="s">
        <v>192</v>
      </c>
      <c r="AW43" s="275" t="s">
        <v>193</v>
      </c>
      <c r="AX43" s="275" t="s">
        <v>194</v>
      </c>
      <c r="AY43" s="275" t="s">
        <v>195</v>
      </c>
      <c r="AZ43" s="275" t="s">
        <v>196</v>
      </c>
      <c r="BA43" s="276" t="s">
        <v>197</v>
      </c>
      <c r="BB43" s="414" t="s">
        <v>187</v>
      </c>
      <c r="BC43" s="275" t="s">
        <v>188</v>
      </c>
      <c r="BD43" s="275" t="s">
        <v>189</v>
      </c>
      <c r="BE43" s="275" t="s">
        <v>190</v>
      </c>
      <c r="BF43" s="275" t="s">
        <v>8</v>
      </c>
      <c r="BG43" s="275" t="s">
        <v>191</v>
      </c>
      <c r="BH43" s="275" t="s">
        <v>192</v>
      </c>
      <c r="BI43" s="275" t="s">
        <v>193</v>
      </c>
      <c r="BJ43" s="275" t="s">
        <v>194</v>
      </c>
      <c r="BK43" s="275" t="s">
        <v>195</v>
      </c>
      <c r="BL43" s="275" t="s">
        <v>196</v>
      </c>
      <c r="BM43" s="415" t="s">
        <v>197</v>
      </c>
    </row>
    <row r="44" spans="2:65" s="434" customFormat="1" ht="16.2" thickBot="1">
      <c r="B44" s="430" t="s">
        <v>332</v>
      </c>
      <c r="C44" s="529">
        <f>+SUM(C45:C46)</f>
        <v>0</v>
      </c>
      <c r="D44" s="432">
        <f aca="true" t="shared" si="17" ref="D44:BM44">+SUM(D45:D46)</f>
        <v>0</v>
      </c>
      <c r="E44" s="433">
        <f t="shared" si="17"/>
        <v>0</v>
      </c>
      <c r="F44" s="431">
        <f>+SUM(F45:F46)</f>
        <v>0</v>
      </c>
      <c r="G44" s="432">
        <f t="shared" si="17"/>
        <v>0</v>
      </c>
      <c r="H44" s="432">
        <f t="shared" si="17"/>
        <v>0</v>
      </c>
      <c r="I44" s="432">
        <f t="shared" si="17"/>
        <v>0</v>
      </c>
      <c r="J44" s="432">
        <f t="shared" si="17"/>
        <v>0</v>
      </c>
      <c r="K44" s="432">
        <f t="shared" si="17"/>
        <v>0</v>
      </c>
      <c r="L44" s="432">
        <f t="shared" si="17"/>
        <v>0</v>
      </c>
      <c r="M44" s="432">
        <f t="shared" si="17"/>
        <v>0</v>
      </c>
      <c r="N44" s="432">
        <f t="shared" si="17"/>
        <v>0</v>
      </c>
      <c r="O44" s="432">
        <f t="shared" si="17"/>
        <v>0</v>
      </c>
      <c r="P44" s="432">
        <f t="shared" si="17"/>
        <v>0</v>
      </c>
      <c r="Q44" s="433">
        <f t="shared" si="17"/>
        <v>0</v>
      </c>
      <c r="R44" s="431">
        <f t="shared" si="17"/>
        <v>0</v>
      </c>
      <c r="S44" s="432">
        <f t="shared" si="17"/>
        <v>0</v>
      </c>
      <c r="T44" s="432">
        <f t="shared" si="17"/>
        <v>0</v>
      </c>
      <c r="U44" s="432">
        <f t="shared" si="17"/>
        <v>0</v>
      </c>
      <c r="V44" s="432">
        <f t="shared" si="17"/>
        <v>0</v>
      </c>
      <c r="W44" s="432">
        <f t="shared" si="17"/>
        <v>0</v>
      </c>
      <c r="X44" s="432">
        <f t="shared" si="17"/>
        <v>0</v>
      </c>
      <c r="Y44" s="432">
        <f t="shared" si="17"/>
        <v>0</v>
      </c>
      <c r="Z44" s="432">
        <f t="shared" si="17"/>
        <v>0</v>
      </c>
      <c r="AA44" s="432">
        <f t="shared" si="17"/>
        <v>0</v>
      </c>
      <c r="AB44" s="432">
        <f t="shared" si="17"/>
        <v>0</v>
      </c>
      <c r="AC44" s="433">
        <f t="shared" si="17"/>
        <v>0</v>
      </c>
      <c r="AD44" s="431">
        <f t="shared" si="17"/>
        <v>0</v>
      </c>
      <c r="AE44" s="432">
        <f t="shared" si="17"/>
        <v>0</v>
      </c>
      <c r="AF44" s="432">
        <f t="shared" si="17"/>
        <v>0</v>
      </c>
      <c r="AG44" s="432">
        <f t="shared" si="17"/>
        <v>0</v>
      </c>
      <c r="AH44" s="432">
        <f t="shared" si="17"/>
        <v>0</v>
      </c>
      <c r="AI44" s="432">
        <f t="shared" si="17"/>
        <v>0</v>
      </c>
      <c r="AJ44" s="432">
        <f t="shared" si="17"/>
        <v>0</v>
      </c>
      <c r="AK44" s="432">
        <f t="shared" si="17"/>
        <v>0</v>
      </c>
      <c r="AL44" s="432">
        <f t="shared" si="17"/>
        <v>0</v>
      </c>
      <c r="AM44" s="432">
        <f t="shared" si="17"/>
        <v>0</v>
      </c>
      <c r="AN44" s="432">
        <f t="shared" si="17"/>
        <v>0</v>
      </c>
      <c r="AO44" s="433">
        <f t="shared" si="17"/>
        <v>0</v>
      </c>
      <c r="AP44" s="431">
        <f t="shared" si="17"/>
        <v>0</v>
      </c>
      <c r="AQ44" s="432">
        <f t="shared" si="17"/>
        <v>0</v>
      </c>
      <c r="AR44" s="432">
        <f t="shared" si="17"/>
        <v>0</v>
      </c>
      <c r="AS44" s="432">
        <f t="shared" si="17"/>
        <v>0</v>
      </c>
      <c r="AT44" s="432">
        <f t="shared" si="17"/>
        <v>0</v>
      </c>
      <c r="AU44" s="432">
        <f t="shared" si="17"/>
        <v>0</v>
      </c>
      <c r="AV44" s="432">
        <f t="shared" si="17"/>
        <v>0</v>
      </c>
      <c r="AW44" s="432">
        <f t="shared" si="17"/>
        <v>0</v>
      </c>
      <c r="AX44" s="432">
        <f t="shared" si="17"/>
        <v>0</v>
      </c>
      <c r="AY44" s="432">
        <f t="shared" si="17"/>
        <v>0</v>
      </c>
      <c r="AZ44" s="432">
        <f t="shared" si="17"/>
        <v>0</v>
      </c>
      <c r="BA44" s="433">
        <f t="shared" si="17"/>
        <v>0</v>
      </c>
      <c r="BB44" s="431">
        <f t="shared" si="17"/>
        <v>0</v>
      </c>
      <c r="BC44" s="432">
        <f t="shared" si="17"/>
        <v>0</v>
      </c>
      <c r="BD44" s="432">
        <f t="shared" si="17"/>
        <v>0</v>
      </c>
      <c r="BE44" s="432">
        <f t="shared" si="17"/>
        <v>0</v>
      </c>
      <c r="BF44" s="432">
        <f t="shared" si="17"/>
        <v>0</v>
      </c>
      <c r="BG44" s="432">
        <f t="shared" si="17"/>
        <v>0</v>
      </c>
      <c r="BH44" s="432">
        <f t="shared" si="17"/>
        <v>0</v>
      </c>
      <c r="BI44" s="432">
        <f t="shared" si="17"/>
        <v>0</v>
      </c>
      <c r="BJ44" s="432">
        <f t="shared" si="17"/>
        <v>0</v>
      </c>
      <c r="BK44" s="432">
        <f t="shared" si="17"/>
        <v>0</v>
      </c>
      <c r="BL44" s="432">
        <f t="shared" si="17"/>
        <v>0</v>
      </c>
      <c r="BM44" s="433">
        <f t="shared" si="17"/>
        <v>0</v>
      </c>
    </row>
    <row r="45" spans="1:65" ht="16.05" customHeight="1">
      <c r="A45" s="1366"/>
      <c r="B45" s="339"/>
      <c r="C45" s="1413"/>
      <c r="D45" s="1413"/>
      <c r="E45" s="1414"/>
      <c r="F45" s="457"/>
      <c r="G45" s="458"/>
      <c r="H45" s="458"/>
      <c r="I45" s="458"/>
      <c r="J45" s="458"/>
      <c r="K45" s="458"/>
      <c r="L45" s="458"/>
      <c r="M45" s="458"/>
      <c r="N45" s="458"/>
      <c r="O45" s="458"/>
      <c r="P45" s="458"/>
      <c r="Q45" s="459"/>
      <c r="R45" s="457"/>
      <c r="S45" s="458"/>
      <c r="T45" s="458"/>
      <c r="U45" s="458"/>
      <c r="V45" s="458"/>
      <c r="W45" s="458"/>
      <c r="X45" s="458"/>
      <c r="Y45" s="458"/>
      <c r="Z45" s="458"/>
      <c r="AA45" s="458"/>
      <c r="AB45" s="458"/>
      <c r="AC45" s="459"/>
      <c r="AD45" s="457"/>
      <c r="AE45" s="458"/>
      <c r="AF45" s="458"/>
      <c r="AG45" s="458"/>
      <c r="AH45" s="458"/>
      <c r="AI45" s="458"/>
      <c r="AJ45" s="458"/>
      <c r="AK45" s="458"/>
      <c r="AL45" s="458"/>
      <c r="AM45" s="458"/>
      <c r="AN45" s="458"/>
      <c r="AO45" s="459"/>
      <c r="AP45" s="457"/>
      <c r="AQ45" s="458"/>
      <c r="AR45" s="458"/>
      <c r="AS45" s="458"/>
      <c r="AT45" s="458"/>
      <c r="AU45" s="458"/>
      <c r="AV45" s="458"/>
      <c r="AW45" s="458"/>
      <c r="AX45" s="458"/>
      <c r="AY45" s="458"/>
      <c r="AZ45" s="458"/>
      <c r="BA45" s="459"/>
      <c r="BB45" s="457"/>
      <c r="BC45" s="458"/>
      <c r="BD45" s="458"/>
      <c r="BE45" s="458"/>
      <c r="BF45" s="458"/>
      <c r="BG45" s="458"/>
      <c r="BH45" s="458"/>
      <c r="BI45" s="458"/>
      <c r="BJ45" s="458"/>
      <c r="BK45" s="458"/>
      <c r="BL45" s="458"/>
      <c r="BM45" s="459"/>
    </row>
    <row r="46" spans="1:65" ht="16.05" customHeight="1" thickBot="1">
      <c r="A46" s="1366"/>
      <c r="B46" s="340"/>
      <c r="C46" s="1418"/>
      <c r="D46" s="1416"/>
      <c r="E46" s="1417"/>
      <c r="F46" s="1409"/>
      <c r="G46" s="1410"/>
      <c r="H46" s="1410"/>
      <c r="I46" s="1410"/>
      <c r="J46" s="1410"/>
      <c r="K46" s="1410"/>
      <c r="L46" s="1410"/>
      <c r="M46" s="1410"/>
      <c r="N46" s="1410"/>
      <c r="O46" s="1410"/>
      <c r="P46" s="1410"/>
      <c r="Q46" s="1411"/>
      <c r="R46" s="1409"/>
      <c r="S46" s="1410"/>
      <c r="T46" s="1410"/>
      <c r="U46" s="1410"/>
      <c r="V46" s="1410"/>
      <c r="W46" s="1410"/>
      <c r="X46" s="1410"/>
      <c r="Y46" s="1410"/>
      <c r="Z46" s="1410"/>
      <c r="AA46" s="1410"/>
      <c r="AB46" s="1410"/>
      <c r="AC46" s="1411"/>
      <c r="AD46" s="1409"/>
      <c r="AE46" s="1410"/>
      <c r="AF46" s="1410"/>
      <c r="AG46" s="1410"/>
      <c r="AH46" s="1410"/>
      <c r="AI46" s="1410"/>
      <c r="AJ46" s="1410"/>
      <c r="AK46" s="1410"/>
      <c r="AL46" s="1410"/>
      <c r="AM46" s="1410"/>
      <c r="AN46" s="1410"/>
      <c r="AO46" s="1411"/>
      <c r="AP46" s="1409"/>
      <c r="AQ46" s="1410"/>
      <c r="AR46" s="1410"/>
      <c r="AS46" s="1410"/>
      <c r="AT46" s="1410"/>
      <c r="AU46" s="1410"/>
      <c r="AV46" s="1410"/>
      <c r="AW46" s="1410"/>
      <c r="AX46" s="1410"/>
      <c r="AY46" s="1410"/>
      <c r="AZ46" s="1410"/>
      <c r="BA46" s="1411"/>
      <c r="BB46" s="1409"/>
      <c r="BC46" s="1410"/>
      <c r="BD46" s="1410"/>
      <c r="BE46" s="1410"/>
      <c r="BF46" s="1410"/>
      <c r="BG46" s="1410"/>
      <c r="BH46" s="1410"/>
      <c r="BI46" s="1410"/>
      <c r="BJ46" s="1410"/>
      <c r="BK46" s="1410"/>
      <c r="BL46" s="1410"/>
      <c r="BM46" s="1411"/>
    </row>
    <row r="47" spans="2:65" s="434" customFormat="1" ht="16.2" thickBot="1">
      <c r="B47" s="666" t="s">
        <v>331</v>
      </c>
      <c r="C47" s="833">
        <f>+SUM(C48:C49)</f>
        <v>0</v>
      </c>
      <c r="D47" s="435">
        <f aca="true" t="shared" si="18" ref="D47:BM47">+SUM(D48:D49)</f>
        <v>0</v>
      </c>
      <c r="E47" s="436">
        <f>+SUM(E48:E49)</f>
        <v>0</v>
      </c>
      <c r="F47" s="437">
        <f t="shared" si="18"/>
        <v>0</v>
      </c>
      <c r="G47" s="435">
        <f t="shared" si="18"/>
        <v>0</v>
      </c>
      <c r="H47" s="435">
        <f t="shared" si="18"/>
        <v>0</v>
      </c>
      <c r="I47" s="435">
        <f t="shared" si="18"/>
        <v>0</v>
      </c>
      <c r="J47" s="435">
        <f t="shared" si="18"/>
        <v>0</v>
      </c>
      <c r="K47" s="435">
        <f t="shared" si="18"/>
        <v>8370</v>
      </c>
      <c r="L47" s="435">
        <f t="shared" si="18"/>
        <v>2780</v>
      </c>
      <c r="M47" s="435">
        <f t="shared" si="18"/>
        <v>0</v>
      </c>
      <c r="N47" s="435">
        <f t="shared" si="18"/>
        <v>0</v>
      </c>
      <c r="O47" s="435">
        <f t="shared" si="18"/>
        <v>16028.75</v>
      </c>
      <c r="P47" s="435">
        <f t="shared" si="18"/>
        <v>18448.75</v>
      </c>
      <c r="Q47" s="436">
        <f t="shared" si="18"/>
        <v>18883.75</v>
      </c>
      <c r="R47" s="437">
        <f>+SUM(R48:R49)</f>
        <v>34644</v>
      </c>
      <c r="S47" s="435">
        <f t="shared" si="18"/>
        <v>38604</v>
      </c>
      <c r="T47" s="435">
        <f t="shared" si="18"/>
        <v>40854</v>
      </c>
      <c r="U47" s="435">
        <f t="shared" si="18"/>
        <v>41714</v>
      </c>
      <c r="V47" s="435">
        <f t="shared" si="18"/>
        <v>42574</v>
      </c>
      <c r="W47" s="435">
        <f t="shared" si="18"/>
        <v>43614</v>
      </c>
      <c r="X47" s="435">
        <f t="shared" si="18"/>
        <v>49004</v>
      </c>
      <c r="Y47" s="435">
        <f t="shared" si="18"/>
        <v>49910.625</v>
      </c>
      <c r="Z47" s="435">
        <f t="shared" si="18"/>
        <v>51280.625</v>
      </c>
      <c r="AA47" s="435">
        <f t="shared" si="18"/>
        <v>52350.625</v>
      </c>
      <c r="AB47" s="435">
        <f t="shared" si="18"/>
        <v>53520.625</v>
      </c>
      <c r="AC47" s="436">
        <f t="shared" si="18"/>
        <v>54937.25</v>
      </c>
      <c r="AD47" s="437">
        <f t="shared" si="18"/>
        <v>81957.375</v>
      </c>
      <c r="AE47" s="435">
        <f t="shared" si="18"/>
        <v>83387.375</v>
      </c>
      <c r="AF47" s="435">
        <f t="shared" si="18"/>
        <v>84934</v>
      </c>
      <c r="AG47" s="435">
        <f t="shared" si="18"/>
        <v>86194</v>
      </c>
      <c r="AH47" s="435">
        <f t="shared" si="18"/>
        <v>87904</v>
      </c>
      <c r="AI47" s="435">
        <f t="shared" si="18"/>
        <v>89510.625</v>
      </c>
      <c r="AJ47" s="435">
        <f t="shared" si="18"/>
        <v>91280.625</v>
      </c>
      <c r="AK47" s="435">
        <f t="shared" si="18"/>
        <v>93050.625</v>
      </c>
      <c r="AL47" s="435">
        <f t="shared" si="18"/>
        <v>95167.25</v>
      </c>
      <c r="AM47" s="435">
        <f t="shared" si="18"/>
        <v>96997.25</v>
      </c>
      <c r="AN47" s="435">
        <f t="shared" si="18"/>
        <v>99407.25</v>
      </c>
      <c r="AO47" s="436">
        <f t="shared" si="18"/>
        <v>101397.25</v>
      </c>
      <c r="AP47" s="437">
        <f>+SUM(AP48:AP49)</f>
        <v>139306.125</v>
      </c>
      <c r="AQ47" s="435">
        <f t="shared" si="18"/>
        <v>141822.75</v>
      </c>
      <c r="AR47" s="435">
        <f t="shared" si="18"/>
        <v>144352.75</v>
      </c>
      <c r="AS47" s="435">
        <f t="shared" si="18"/>
        <v>147362.75</v>
      </c>
      <c r="AT47" s="435">
        <f t="shared" si="18"/>
        <v>150166</v>
      </c>
      <c r="AU47" s="435">
        <f t="shared" si="18"/>
        <v>153316</v>
      </c>
      <c r="AV47" s="435">
        <f t="shared" si="18"/>
        <v>168775</v>
      </c>
      <c r="AW47" s="435">
        <f t="shared" si="18"/>
        <v>172231.625</v>
      </c>
      <c r="AX47" s="435">
        <f t="shared" si="18"/>
        <v>176098.25</v>
      </c>
      <c r="AY47" s="435">
        <f t="shared" si="18"/>
        <v>179928.25</v>
      </c>
      <c r="AZ47" s="435">
        <f t="shared" si="18"/>
        <v>183984.875</v>
      </c>
      <c r="BA47" s="436">
        <f t="shared" si="18"/>
        <v>188234.875</v>
      </c>
      <c r="BB47" s="437">
        <f t="shared" si="18"/>
        <v>240891.34999999998</v>
      </c>
      <c r="BC47" s="435">
        <f t="shared" si="18"/>
        <v>245594.59999999998</v>
      </c>
      <c r="BD47" s="435">
        <f t="shared" si="18"/>
        <v>250824.59999999998</v>
      </c>
      <c r="BE47" s="435">
        <f t="shared" si="18"/>
        <v>255881.22499999998</v>
      </c>
      <c r="BF47" s="435">
        <f t="shared" si="18"/>
        <v>262124.47499999998</v>
      </c>
      <c r="BG47" s="435">
        <f t="shared" si="18"/>
        <v>267944.475</v>
      </c>
      <c r="BH47" s="435">
        <f t="shared" si="18"/>
        <v>286688.725</v>
      </c>
      <c r="BI47" s="435">
        <f t="shared" si="18"/>
        <v>293405.35</v>
      </c>
      <c r="BJ47" s="435">
        <f t="shared" si="18"/>
        <v>300595.35</v>
      </c>
      <c r="BK47" s="435">
        <f t="shared" si="18"/>
        <v>308208.6</v>
      </c>
      <c r="BL47" s="435">
        <f t="shared" si="18"/>
        <v>315845.225</v>
      </c>
      <c r="BM47" s="436">
        <f t="shared" si="18"/>
        <v>324485.225</v>
      </c>
    </row>
    <row r="48" spans="2:65" ht="16.05" customHeight="1">
      <c r="B48" s="340" t="s">
        <v>537</v>
      </c>
      <c r="C48" s="1416"/>
      <c r="D48" s="1416"/>
      <c r="E48" s="1417"/>
      <c r="F48" s="1409">
        <f>+SUM('Income Statement'!E6:E8)</f>
        <v>0</v>
      </c>
      <c r="G48" s="1410">
        <f>+SUM('Income Statement'!F6:F8)</f>
        <v>0</v>
      </c>
      <c r="H48" s="1410">
        <f>+SUM('Income Statement'!G6:G8)</f>
        <v>0</v>
      </c>
      <c r="I48" s="1410">
        <f>+SUM('Income Statement'!H6:H8)</f>
        <v>0</v>
      </c>
      <c r="J48" s="1410">
        <f>+SUM('Income Statement'!I6:I8)</f>
        <v>0</v>
      </c>
      <c r="K48" s="1410">
        <f>+SUM('Income Statement'!J6:J8)</f>
        <v>8370</v>
      </c>
      <c r="L48" s="1410">
        <f>+SUM('Income Statement'!K6:K8)</f>
        <v>2780</v>
      </c>
      <c r="M48" s="1410">
        <f>+SUM('Income Statement'!L6:L8)</f>
        <v>0</v>
      </c>
      <c r="N48" s="1410">
        <f>+SUM('Income Statement'!M6:M8)</f>
        <v>0</v>
      </c>
      <c r="O48" s="1410">
        <f>+SUM('Income Statement'!N6:N8)</f>
        <v>16028.75</v>
      </c>
      <c r="P48" s="1410">
        <f>+SUM('Income Statement'!O6:O8)</f>
        <v>18448.75</v>
      </c>
      <c r="Q48" s="1411">
        <f>+SUM('Income Statement'!P6:P8)</f>
        <v>18883.75</v>
      </c>
      <c r="R48" s="1409">
        <f>+SUM('Income Statement'!Q6:Q8)</f>
        <v>34644</v>
      </c>
      <c r="S48" s="1410">
        <f>+SUM('Income Statement'!R6:R8)</f>
        <v>38604</v>
      </c>
      <c r="T48" s="1410">
        <f>+SUM('Income Statement'!S6:S8)</f>
        <v>40854</v>
      </c>
      <c r="U48" s="1410">
        <f>+SUM('Income Statement'!T6:T8)</f>
        <v>41714</v>
      </c>
      <c r="V48" s="1410">
        <f>+SUM('Income Statement'!U6:U8)</f>
        <v>42574</v>
      </c>
      <c r="W48" s="1410">
        <f>+SUM('Income Statement'!V6:V8)</f>
        <v>43614</v>
      </c>
      <c r="X48" s="1410">
        <f>+SUM('Income Statement'!W6:W8)</f>
        <v>49004</v>
      </c>
      <c r="Y48" s="1410">
        <f>+SUM('Income Statement'!X6:X8)</f>
        <v>49910.625</v>
      </c>
      <c r="Z48" s="1410">
        <f>+SUM('Income Statement'!Y6:Y8)</f>
        <v>51280.625</v>
      </c>
      <c r="AA48" s="1410">
        <f>+SUM('Income Statement'!Z6:Z8)</f>
        <v>52350.625</v>
      </c>
      <c r="AB48" s="1410">
        <f>+SUM('Income Statement'!AA6:AA8)</f>
        <v>53520.625</v>
      </c>
      <c r="AC48" s="1411">
        <f>+SUM('Income Statement'!AB6:AB8)</f>
        <v>54937.25</v>
      </c>
      <c r="AD48" s="1409">
        <f>+SUM('Income Statement'!AC6:AC8)</f>
        <v>81957.375</v>
      </c>
      <c r="AE48" s="1410">
        <f>+SUM('Income Statement'!AD6:AD8)</f>
        <v>83387.375</v>
      </c>
      <c r="AF48" s="1410">
        <f>+SUM('Income Statement'!AE6:AE8)</f>
        <v>84934</v>
      </c>
      <c r="AG48" s="1410">
        <f>+SUM('Income Statement'!AF6:AF8)</f>
        <v>86194</v>
      </c>
      <c r="AH48" s="1410">
        <f>+SUM('Income Statement'!AG6:AG8)</f>
        <v>87904</v>
      </c>
      <c r="AI48" s="1410">
        <f>+SUM('Income Statement'!AH6:AH8)</f>
        <v>89510.625</v>
      </c>
      <c r="AJ48" s="1410">
        <f>+SUM('Income Statement'!AI6:AI8)</f>
        <v>91280.625</v>
      </c>
      <c r="AK48" s="1410">
        <f>+SUM('Income Statement'!AJ6:AJ8)</f>
        <v>93050.625</v>
      </c>
      <c r="AL48" s="1410">
        <f>+SUM('Income Statement'!AK6:AK8)</f>
        <v>95167.25</v>
      </c>
      <c r="AM48" s="1410">
        <f>+SUM('Income Statement'!AL6:AL8)</f>
        <v>96997.25</v>
      </c>
      <c r="AN48" s="1410">
        <f>+SUM('Income Statement'!AM6:AM8)</f>
        <v>99407.25</v>
      </c>
      <c r="AO48" s="1411">
        <f>+SUM('Income Statement'!AN6:AN8)</f>
        <v>101397.25</v>
      </c>
      <c r="AP48" s="1409">
        <f>+SUM('Income Statement'!AO6:AO8)</f>
        <v>139306.125</v>
      </c>
      <c r="AQ48" s="1410">
        <f>+SUM('Income Statement'!AP6:AP8)</f>
        <v>141822.75</v>
      </c>
      <c r="AR48" s="1410">
        <f>+SUM('Income Statement'!AQ6:AQ8)</f>
        <v>144352.75</v>
      </c>
      <c r="AS48" s="1410">
        <f>+SUM('Income Statement'!AR6:AR8)</f>
        <v>147362.75</v>
      </c>
      <c r="AT48" s="1410">
        <f>+SUM('Income Statement'!AS6:AS8)</f>
        <v>150166</v>
      </c>
      <c r="AU48" s="1410">
        <f>+SUM('Income Statement'!AT6:AT8)</f>
        <v>153316</v>
      </c>
      <c r="AV48" s="1410">
        <f>+SUM('Income Statement'!AU6:AU8)</f>
        <v>168775</v>
      </c>
      <c r="AW48" s="1410">
        <f>+SUM('Income Statement'!AV6:AV8)</f>
        <v>172231.625</v>
      </c>
      <c r="AX48" s="1410">
        <f>+SUM('Income Statement'!AW6:AW8)</f>
        <v>176098.25</v>
      </c>
      <c r="AY48" s="1410">
        <f>+SUM('Income Statement'!AX6:AX8)</f>
        <v>179928.25</v>
      </c>
      <c r="AZ48" s="1410">
        <f>+SUM('Income Statement'!AY6:AY8)</f>
        <v>183984.875</v>
      </c>
      <c r="BA48" s="1411">
        <f>+SUM('Income Statement'!AZ6:AZ8)</f>
        <v>188234.875</v>
      </c>
      <c r="BB48" s="1409">
        <f>+SUM('Income Statement'!BA6:BA8)</f>
        <v>240891.34999999998</v>
      </c>
      <c r="BC48" s="1410">
        <f>+SUM('Income Statement'!BB6:BB8)</f>
        <v>245594.59999999998</v>
      </c>
      <c r="BD48" s="1410">
        <f>+SUM('Income Statement'!BC6:BC8)</f>
        <v>250824.59999999998</v>
      </c>
      <c r="BE48" s="1410">
        <f>+SUM('Income Statement'!BD6:BD8)</f>
        <v>255881.22499999998</v>
      </c>
      <c r="BF48" s="1410">
        <f>+SUM('Income Statement'!BE6:BE8)</f>
        <v>262124.47499999998</v>
      </c>
      <c r="BG48" s="1410">
        <f>+SUM('Income Statement'!BF6:BF8)</f>
        <v>267944.475</v>
      </c>
      <c r="BH48" s="1410">
        <f>+SUM('Income Statement'!BG6:BG8)</f>
        <v>286688.725</v>
      </c>
      <c r="BI48" s="1410">
        <f>+SUM('Income Statement'!BH6:BH8)</f>
        <v>293405.35</v>
      </c>
      <c r="BJ48" s="1410">
        <f>+SUM('Income Statement'!BI6:BI8)</f>
        <v>300595.35</v>
      </c>
      <c r="BK48" s="1410">
        <f>+SUM('Income Statement'!BJ6:BJ8)</f>
        <v>308208.6</v>
      </c>
      <c r="BL48" s="1410">
        <f>+SUM('Income Statement'!BK6:BK8)</f>
        <v>315845.225</v>
      </c>
      <c r="BM48" s="1411">
        <f>+SUM('Income Statement'!BL6:BL8)</f>
        <v>324485.225</v>
      </c>
    </row>
    <row r="49" spans="2:65" ht="16.05" customHeight="1" thickBot="1">
      <c r="B49" s="340"/>
      <c r="C49" s="1418"/>
      <c r="D49" s="1416"/>
      <c r="E49" s="1417"/>
      <c r="F49" s="1409"/>
      <c r="G49" s="1410"/>
      <c r="H49" s="1410"/>
      <c r="I49" s="1410"/>
      <c r="J49" s="1410"/>
      <c r="K49" s="1410"/>
      <c r="L49" s="1410"/>
      <c r="M49" s="1410"/>
      <c r="N49" s="1410"/>
      <c r="O49" s="1410"/>
      <c r="P49" s="1410"/>
      <c r="Q49" s="1411"/>
      <c r="R49" s="1409"/>
      <c r="S49" s="1410"/>
      <c r="T49" s="1410"/>
      <c r="U49" s="1410"/>
      <c r="V49" s="1410"/>
      <c r="W49" s="1410"/>
      <c r="X49" s="1410"/>
      <c r="Y49" s="1410"/>
      <c r="Z49" s="1410"/>
      <c r="AA49" s="1410"/>
      <c r="AB49" s="1410"/>
      <c r="AC49" s="1411"/>
      <c r="AD49" s="1409"/>
      <c r="AE49" s="1410"/>
      <c r="AF49" s="1410"/>
      <c r="AG49" s="1410"/>
      <c r="AH49" s="1410"/>
      <c r="AI49" s="1410"/>
      <c r="AJ49" s="1410"/>
      <c r="AK49" s="1410"/>
      <c r="AL49" s="1410"/>
      <c r="AM49" s="1410"/>
      <c r="AN49" s="1410"/>
      <c r="AO49" s="1411"/>
      <c r="AP49" s="1409"/>
      <c r="AQ49" s="1410"/>
      <c r="AR49" s="1410"/>
      <c r="AS49" s="1410"/>
      <c r="AT49" s="1410"/>
      <c r="AU49" s="1410"/>
      <c r="AV49" s="1410"/>
      <c r="AW49" s="1410"/>
      <c r="AX49" s="1410"/>
      <c r="AY49" s="1410"/>
      <c r="AZ49" s="1410"/>
      <c r="BA49" s="1411"/>
      <c r="BB49" s="1409"/>
      <c r="BC49" s="1410"/>
      <c r="BD49" s="1410"/>
      <c r="BE49" s="1410"/>
      <c r="BF49" s="1410"/>
      <c r="BG49" s="1410"/>
      <c r="BH49" s="1410"/>
      <c r="BI49" s="1410"/>
      <c r="BJ49" s="1410"/>
      <c r="BK49" s="1410"/>
      <c r="BL49" s="1410"/>
      <c r="BM49" s="1411"/>
    </row>
    <row r="50" spans="2:65" s="52" customFormat="1" ht="16.2" thickBot="1">
      <c r="B50" s="407" t="s">
        <v>333</v>
      </c>
      <c r="C50" s="529">
        <f aca="true" t="shared" si="19" ref="C50:AH50">+SUM(C51:C52)</f>
        <v>0</v>
      </c>
      <c r="D50" s="432">
        <f t="shared" si="19"/>
        <v>0</v>
      </c>
      <c r="E50" s="433">
        <f t="shared" si="19"/>
        <v>0</v>
      </c>
      <c r="F50" s="431">
        <f t="shared" si="19"/>
        <v>0</v>
      </c>
      <c r="G50" s="435">
        <f t="shared" si="19"/>
        <v>0</v>
      </c>
      <c r="H50" s="435">
        <f t="shared" si="19"/>
        <v>0</v>
      </c>
      <c r="I50" s="435">
        <f t="shared" si="19"/>
        <v>0</v>
      </c>
      <c r="J50" s="435">
        <f t="shared" si="19"/>
        <v>0</v>
      </c>
      <c r="K50" s="435">
        <f t="shared" si="19"/>
        <v>0</v>
      </c>
      <c r="L50" s="435">
        <f t="shared" si="19"/>
        <v>0</v>
      </c>
      <c r="M50" s="435">
        <f t="shared" si="19"/>
        <v>0</v>
      </c>
      <c r="N50" s="435">
        <f t="shared" si="19"/>
        <v>0</v>
      </c>
      <c r="O50" s="435">
        <f t="shared" si="19"/>
        <v>0</v>
      </c>
      <c r="P50" s="435">
        <f t="shared" si="19"/>
        <v>0</v>
      </c>
      <c r="Q50" s="436">
        <f t="shared" si="19"/>
        <v>0</v>
      </c>
      <c r="R50" s="437">
        <f t="shared" si="19"/>
        <v>0</v>
      </c>
      <c r="S50" s="435">
        <f t="shared" si="19"/>
        <v>0</v>
      </c>
      <c r="T50" s="435">
        <f t="shared" si="19"/>
        <v>0</v>
      </c>
      <c r="U50" s="435">
        <f t="shared" si="19"/>
        <v>0</v>
      </c>
      <c r="V50" s="435">
        <f t="shared" si="19"/>
        <v>0</v>
      </c>
      <c r="W50" s="435">
        <f t="shared" si="19"/>
        <v>0</v>
      </c>
      <c r="X50" s="435">
        <f t="shared" si="19"/>
        <v>0</v>
      </c>
      <c r="Y50" s="435">
        <f t="shared" si="19"/>
        <v>0</v>
      </c>
      <c r="Z50" s="435">
        <f t="shared" si="19"/>
        <v>0</v>
      </c>
      <c r="AA50" s="435">
        <f t="shared" si="19"/>
        <v>0</v>
      </c>
      <c r="AB50" s="435">
        <f t="shared" si="19"/>
        <v>0</v>
      </c>
      <c r="AC50" s="436">
        <f t="shared" si="19"/>
        <v>0</v>
      </c>
      <c r="AD50" s="437">
        <f t="shared" si="19"/>
        <v>0</v>
      </c>
      <c r="AE50" s="435">
        <f t="shared" si="19"/>
        <v>0</v>
      </c>
      <c r="AF50" s="435">
        <f t="shared" si="19"/>
        <v>0</v>
      </c>
      <c r="AG50" s="435">
        <f t="shared" si="19"/>
        <v>0</v>
      </c>
      <c r="AH50" s="435">
        <f t="shared" si="19"/>
        <v>0</v>
      </c>
      <c r="AI50" s="435">
        <f aca="true" t="shared" si="20" ref="AI50:BM50">+SUM(AI51:AI52)</f>
        <v>0</v>
      </c>
      <c r="AJ50" s="435">
        <f t="shared" si="20"/>
        <v>0</v>
      </c>
      <c r="AK50" s="435">
        <f t="shared" si="20"/>
        <v>0</v>
      </c>
      <c r="AL50" s="435">
        <f t="shared" si="20"/>
        <v>0</v>
      </c>
      <c r="AM50" s="435">
        <f t="shared" si="20"/>
        <v>0</v>
      </c>
      <c r="AN50" s="435">
        <f t="shared" si="20"/>
        <v>0</v>
      </c>
      <c r="AO50" s="436">
        <f t="shared" si="20"/>
        <v>0</v>
      </c>
      <c r="AP50" s="437">
        <f t="shared" si="20"/>
        <v>0</v>
      </c>
      <c r="AQ50" s="435">
        <f t="shared" si="20"/>
        <v>0</v>
      </c>
      <c r="AR50" s="435">
        <f t="shared" si="20"/>
        <v>0</v>
      </c>
      <c r="AS50" s="435">
        <f t="shared" si="20"/>
        <v>0</v>
      </c>
      <c r="AT50" s="435">
        <f t="shared" si="20"/>
        <v>0</v>
      </c>
      <c r="AU50" s="435">
        <f t="shared" si="20"/>
        <v>0</v>
      </c>
      <c r="AV50" s="435">
        <f t="shared" si="20"/>
        <v>0</v>
      </c>
      <c r="AW50" s="435">
        <f t="shared" si="20"/>
        <v>0</v>
      </c>
      <c r="AX50" s="435">
        <f t="shared" si="20"/>
        <v>0</v>
      </c>
      <c r="AY50" s="435">
        <f t="shared" si="20"/>
        <v>0</v>
      </c>
      <c r="AZ50" s="435">
        <f t="shared" si="20"/>
        <v>0</v>
      </c>
      <c r="BA50" s="436">
        <f t="shared" si="20"/>
        <v>0</v>
      </c>
      <c r="BB50" s="437">
        <f t="shared" si="20"/>
        <v>0</v>
      </c>
      <c r="BC50" s="435">
        <f t="shared" si="20"/>
        <v>0</v>
      </c>
      <c r="BD50" s="435">
        <f t="shared" si="20"/>
        <v>0</v>
      </c>
      <c r="BE50" s="435">
        <f t="shared" si="20"/>
        <v>0</v>
      </c>
      <c r="BF50" s="435">
        <f t="shared" si="20"/>
        <v>0</v>
      </c>
      <c r="BG50" s="435">
        <f t="shared" si="20"/>
        <v>0</v>
      </c>
      <c r="BH50" s="435">
        <f t="shared" si="20"/>
        <v>0</v>
      </c>
      <c r="BI50" s="435">
        <f t="shared" si="20"/>
        <v>0</v>
      </c>
      <c r="BJ50" s="435">
        <f t="shared" si="20"/>
        <v>0</v>
      </c>
      <c r="BK50" s="435">
        <f t="shared" si="20"/>
        <v>0</v>
      </c>
      <c r="BL50" s="435">
        <f t="shared" si="20"/>
        <v>0</v>
      </c>
      <c r="BM50" s="436">
        <f t="shared" si="20"/>
        <v>0</v>
      </c>
    </row>
    <row r="51" spans="2:65" ht="16.05" customHeight="1">
      <c r="B51" s="339"/>
      <c r="C51" s="1412"/>
      <c r="D51" s="1413"/>
      <c r="E51" s="1414"/>
      <c r="F51" s="457"/>
      <c r="G51" s="458"/>
      <c r="H51" s="458"/>
      <c r="I51" s="458"/>
      <c r="J51" s="458"/>
      <c r="K51" s="458"/>
      <c r="L51" s="458"/>
      <c r="M51" s="458"/>
      <c r="N51" s="458"/>
      <c r="O51" s="458"/>
      <c r="P51" s="458"/>
      <c r="Q51" s="459"/>
      <c r="R51" s="457"/>
      <c r="S51" s="458"/>
      <c r="T51" s="458"/>
      <c r="U51" s="458"/>
      <c r="V51" s="458"/>
      <c r="W51" s="458"/>
      <c r="X51" s="458"/>
      <c r="Y51" s="458"/>
      <c r="Z51" s="458"/>
      <c r="AA51" s="458"/>
      <c r="AB51" s="458"/>
      <c r="AC51" s="459"/>
      <c r="AD51" s="457"/>
      <c r="AE51" s="458"/>
      <c r="AF51" s="458"/>
      <c r="AG51" s="458"/>
      <c r="AH51" s="458"/>
      <c r="AI51" s="458"/>
      <c r="AJ51" s="458"/>
      <c r="AK51" s="458"/>
      <c r="AL51" s="458"/>
      <c r="AM51" s="458"/>
      <c r="AN51" s="458"/>
      <c r="AO51" s="459"/>
      <c r="AP51" s="457"/>
      <c r="AQ51" s="458"/>
      <c r="AR51" s="458"/>
      <c r="AS51" s="458"/>
      <c r="AT51" s="458"/>
      <c r="AU51" s="458"/>
      <c r="AV51" s="458"/>
      <c r="AW51" s="458"/>
      <c r="AX51" s="458"/>
      <c r="AY51" s="458"/>
      <c r="AZ51" s="458"/>
      <c r="BA51" s="459"/>
      <c r="BB51" s="457"/>
      <c r="BC51" s="458"/>
      <c r="BD51" s="458"/>
      <c r="BE51" s="458"/>
      <c r="BF51" s="458"/>
      <c r="BG51" s="458"/>
      <c r="BH51" s="458"/>
      <c r="BI51" s="458"/>
      <c r="BJ51" s="458"/>
      <c r="BK51" s="458"/>
      <c r="BL51" s="458"/>
      <c r="BM51" s="459"/>
    </row>
    <row r="52" spans="2:65" ht="16.05" customHeight="1" thickBot="1">
      <c r="B52" s="408"/>
      <c r="C52" s="1418"/>
      <c r="D52" s="1419"/>
      <c r="E52" s="1420"/>
      <c r="F52" s="460"/>
      <c r="G52" s="461"/>
      <c r="H52" s="461"/>
      <c r="I52" s="461"/>
      <c r="J52" s="461"/>
      <c r="K52" s="461"/>
      <c r="L52" s="461"/>
      <c r="M52" s="461"/>
      <c r="N52" s="461"/>
      <c r="O52" s="461"/>
      <c r="P52" s="461"/>
      <c r="Q52" s="462"/>
      <c r="R52" s="460"/>
      <c r="S52" s="461"/>
      <c r="T52" s="461"/>
      <c r="U52" s="461"/>
      <c r="V52" s="461"/>
      <c r="W52" s="461"/>
      <c r="X52" s="461"/>
      <c r="Y52" s="461"/>
      <c r="Z52" s="461"/>
      <c r="AA52" s="461"/>
      <c r="AB52" s="461"/>
      <c r="AC52" s="462"/>
      <c r="AD52" s="460"/>
      <c r="AE52" s="461"/>
      <c r="AF52" s="461"/>
      <c r="AG52" s="461"/>
      <c r="AH52" s="461"/>
      <c r="AI52" s="461"/>
      <c r="AJ52" s="461"/>
      <c r="AK52" s="461"/>
      <c r="AL52" s="461"/>
      <c r="AM52" s="461"/>
      <c r="AN52" s="461"/>
      <c r="AO52" s="462"/>
      <c r="AP52" s="460"/>
      <c r="AQ52" s="461"/>
      <c r="AR52" s="461"/>
      <c r="AS52" s="461"/>
      <c r="AT52" s="461"/>
      <c r="AU52" s="461"/>
      <c r="AV52" s="461"/>
      <c r="AW52" s="461"/>
      <c r="AX52" s="461"/>
      <c r="AY52" s="461"/>
      <c r="AZ52" s="461"/>
      <c r="BA52" s="462"/>
      <c r="BB52" s="460"/>
      <c r="BC52" s="461"/>
      <c r="BD52" s="461"/>
      <c r="BE52" s="461"/>
      <c r="BF52" s="461"/>
      <c r="BG52" s="461"/>
      <c r="BH52" s="461"/>
      <c r="BI52" s="461"/>
      <c r="BJ52" s="461"/>
      <c r="BK52" s="461"/>
      <c r="BL52" s="461"/>
      <c r="BM52" s="462"/>
    </row>
    <row r="53" spans="2:65" s="52" customFormat="1" ht="16.2" thickBot="1">
      <c r="B53" s="407" t="s">
        <v>335</v>
      </c>
      <c r="C53" s="529">
        <f>+SUM(C54:C60)</f>
        <v>0</v>
      </c>
      <c r="D53" s="432">
        <f>+SUM(D54:D60)</f>
        <v>0</v>
      </c>
      <c r="E53" s="433">
        <f>+SUM(E54:E60)</f>
        <v>0</v>
      </c>
      <c r="F53" s="431">
        <f>+SUM(F54:F60)</f>
        <v>7258.141331275723</v>
      </c>
      <c r="G53" s="435">
        <f aca="true" t="shared" si="21" ref="G53:BM53">+SUM(G54:G60)</f>
        <v>4258.141331275723</v>
      </c>
      <c r="H53" s="435">
        <f t="shared" si="21"/>
        <v>3250.1925814814813</v>
      </c>
      <c r="I53" s="435">
        <f t="shared" si="21"/>
        <v>3000.442222222222</v>
      </c>
      <c r="J53" s="435">
        <f t="shared" si="21"/>
        <v>2249.8141703703704</v>
      </c>
      <c r="K53" s="435">
        <f t="shared" si="21"/>
        <v>8649.99417037037</v>
      </c>
      <c r="L53" s="435">
        <f t="shared" si="21"/>
        <v>4000.04877037037</v>
      </c>
      <c r="M53" s="435">
        <f t="shared" si="21"/>
        <v>1500.1287703703704</v>
      </c>
      <c r="N53" s="435">
        <f t="shared" si="21"/>
        <v>7557.938271604939</v>
      </c>
      <c r="O53" s="435">
        <f t="shared" si="21"/>
        <v>39780.630895061724</v>
      </c>
      <c r="P53" s="435">
        <f t="shared" si="21"/>
        <v>30214.51089506173</v>
      </c>
      <c r="Q53" s="436">
        <f t="shared" si="21"/>
        <v>30420.600895061725</v>
      </c>
      <c r="R53" s="437">
        <f t="shared" si="21"/>
        <v>73531.77279012345</v>
      </c>
      <c r="S53" s="435">
        <f t="shared" si="21"/>
        <v>49987.21279012345</v>
      </c>
      <c r="T53" s="435">
        <f t="shared" si="21"/>
        <v>50468.71279012345</v>
      </c>
      <c r="U53" s="435">
        <f t="shared" si="21"/>
        <v>50660.75279012346</v>
      </c>
      <c r="V53" s="435">
        <f t="shared" si="21"/>
        <v>50852.79279012345</v>
      </c>
      <c r="W53" s="435">
        <f t="shared" si="21"/>
        <v>51047.35279012345</v>
      </c>
      <c r="X53" s="435">
        <f t="shared" si="21"/>
        <v>54752.812790123455</v>
      </c>
      <c r="Y53" s="435">
        <f t="shared" si="21"/>
        <v>54950.50554012346</v>
      </c>
      <c r="Z53" s="435">
        <f t="shared" si="21"/>
        <v>55199.68554012345</v>
      </c>
      <c r="AA53" s="435">
        <f t="shared" si="21"/>
        <v>55394.66554012346</v>
      </c>
      <c r="AB53" s="435">
        <f t="shared" si="21"/>
        <v>55641.04554012345</v>
      </c>
      <c r="AC53" s="436">
        <f t="shared" si="21"/>
        <v>55895.87829012345</v>
      </c>
      <c r="AD53" s="437">
        <f t="shared" si="21"/>
        <v>125982.22022530861</v>
      </c>
      <c r="AE53" s="435">
        <f t="shared" si="21"/>
        <v>91232.24022530863</v>
      </c>
      <c r="AF53" s="435">
        <f t="shared" si="21"/>
        <v>91538.89297530864</v>
      </c>
      <c r="AG53" s="435">
        <f t="shared" si="21"/>
        <v>91786.53297530863</v>
      </c>
      <c r="AH53" s="435">
        <f t="shared" si="21"/>
        <v>92090.47297530863</v>
      </c>
      <c r="AI53" s="435">
        <f t="shared" si="21"/>
        <v>92397.96572530863</v>
      </c>
      <c r="AJ53" s="435">
        <f t="shared" si="21"/>
        <v>92702.74572530863</v>
      </c>
      <c r="AK53" s="435">
        <f t="shared" si="21"/>
        <v>93007.52572530863</v>
      </c>
      <c r="AL53" s="435">
        <f t="shared" si="21"/>
        <v>93372.15847530862</v>
      </c>
      <c r="AM53" s="435">
        <f t="shared" si="21"/>
        <v>93677.77847530862</v>
      </c>
      <c r="AN53" s="435">
        <f t="shared" si="21"/>
        <v>94091.51847530864</v>
      </c>
      <c r="AO53" s="436">
        <f t="shared" si="21"/>
        <v>94449.37847530862</v>
      </c>
      <c r="AP53" s="437">
        <f t="shared" si="21"/>
        <v>173911.92525617284</v>
      </c>
      <c r="AQ53" s="435">
        <f t="shared" si="21"/>
        <v>128332.15800617282</v>
      </c>
      <c r="AR53" s="435">
        <f t="shared" si="21"/>
        <v>128747.57800617283</v>
      </c>
      <c r="AS53" s="435">
        <f t="shared" si="21"/>
        <v>129219.71800617283</v>
      </c>
      <c r="AT53" s="435">
        <f t="shared" si="21"/>
        <v>129738.96350617283</v>
      </c>
      <c r="AU53" s="435">
        <f t="shared" si="21"/>
        <v>130253.06350617282</v>
      </c>
      <c r="AV53" s="435">
        <f t="shared" si="21"/>
        <v>138089.48950617283</v>
      </c>
      <c r="AW53" s="435">
        <f t="shared" si="21"/>
        <v>138712.88225617283</v>
      </c>
      <c r="AX53" s="435">
        <f t="shared" si="21"/>
        <v>139342.01500617282</v>
      </c>
      <c r="AY53" s="435">
        <f t="shared" si="21"/>
        <v>139965.63500617282</v>
      </c>
      <c r="AZ53" s="435">
        <f t="shared" si="21"/>
        <v>140647.42775617284</v>
      </c>
      <c r="BA53" s="436">
        <f t="shared" si="21"/>
        <v>141326.92775617284</v>
      </c>
      <c r="BB53" s="437">
        <f t="shared" si="21"/>
        <v>239074.0506901234</v>
      </c>
      <c r="BC53" s="435">
        <f t="shared" si="21"/>
        <v>192819.89619012346</v>
      </c>
      <c r="BD53" s="435">
        <f t="shared" si="21"/>
        <v>193663.11619012343</v>
      </c>
      <c r="BE53" s="435">
        <f t="shared" si="21"/>
        <v>194458.90894012345</v>
      </c>
      <c r="BF53" s="435">
        <f t="shared" si="21"/>
        <v>195466.31444012345</v>
      </c>
      <c r="BG53" s="435">
        <f t="shared" si="21"/>
        <v>196407.79444012343</v>
      </c>
      <c r="BH53" s="435">
        <f t="shared" si="21"/>
        <v>204740.21394012345</v>
      </c>
      <c r="BI53" s="435">
        <f t="shared" si="21"/>
        <v>205799.24669012346</v>
      </c>
      <c r="BJ53" s="435">
        <f t="shared" si="21"/>
        <v>206959.90669012343</v>
      </c>
      <c r="BK53" s="435">
        <f t="shared" si="21"/>
        <v>208136.49219012342</v>
      </c>
      <c r="BL53" s="435">
        <f t="shared" si="21"/>
        <v>209358.40494012344</v>
      </c>
      <c r="BM53" s="436">
        <f t="shared" si="21"/>
        <v>210689.36494012346</v>
      </c>
    </row>
    <row r="54" spans="2:65" ht="16.05" customHeight="1">
      <c r="B54" s="339" t="s">
        <v>171</v>
      </c>
      <c r="C54" s="1412"/>
      <c r="D54" s="1413"/>
      <c r="E54" s="1414"/>
      <c r="F54" s="457">
        <f>+'Income Statement'!E13+'Income Statement'!E14+'Income Statement'!E15+'Income Statement'!E16+'Income Statement'!E17+'Income Statement'!E18</f>
        <v>0</v>
      </c>
      <c r="G54" s="458">
        <f>+'Income Statement'!F13+'Income Statement'!F14+'Income Statement'!F15+'Income Statement'!F16+'Income Statement'!F17+'Income Statement'!F18</f>
        <v>0</v>
      </c>
      <c r="H54" s="458">
        <f>+'Income Statement'!G13+'Income Statement'!G14+'Income Statement'!G15+'Income Statement'!G16+'Income Statement'!G17+'Income Statement'!G18</f>
        <v>0</v>
      </c>
      <c r="I54" s="458">
        <f>+'Income Statement'!H13+'Income Statement'!H14+'Income Statement'!H15+'Income Statement'!H16+'Income Statement'!H17+'Income Statement'!H18</f>
        <v>0</v>
      </c>
      <c r="J54" s="458">
        <f>+'Income Statement'!I13+'Income Statement'!I14+'Income Statement'!I15+'Income Statement'!I16+'Income Statement'!I17+'Income Statement'!I18</f>
        <v>0</v>
      </c>
      <c r="K54" s="458">
        <f>+'Income Statement'!J13+'Income Statement'!J14+'Income Statement'!J15+'Income Statement'!J16+'Income Statement'!J17+'Income Statement'!J18</f>
        <v>6400.18</v>
      </c>
      <c r="L54" s="458">
        <f>+'Income Statement'!K13+'Income Statement'!K14+'Income Statement'!K15+'Income Statement'!K16+'Income Statement'!K17+'Income Statement'!K18</f>
        <v>2499.92</v>
      </c>
      <c r="M54" s="458">
        <f>+'Income Statement'!L13+'Income Statement'!L14+'Income Statement'!L15+'Income Statement'!L16+'Income Statement'!L17+'Income Statement'!L18</f>
        <v>0</v>
      </c>
      <c r="N54" s="458">
        <f>+'Income Statement'!M13+'Income Statement'!M14+'Income Statement'!M15+'Income Statement'!M16+'Income Statement'!M17+'Income Statement'!M18</f>
        <v>0</v>
      </c>
      <c r="O54" s="458">
        <f>+'Income Statement'!N13+'Income Statement'!N14+'Income Statement'!N15+'Income Statement'!N16+'Income Statement'!N17+'Income Statement'!N18</f>
        <v>10594.4025</v>
      </c>
      <c r="P54" s="458">
        <f>+'Income Statement'!O13+'Income Statement'!O14+'Income Statement'!O15+'Income Statement'!O16+'Income Statement'!O17+'Income Statement'!O18</f>
        <v>10628.282500000001</v>
      </c>
      <c r="Q54" s="459">
        <f>+'Income Statement'!P13+'Income Statement'!P14+'Income Statement'!P15+'Income Statement'!P16+'Income Statement'!P17+'Income Statement'!P18</f>
        <v>10634.3725</v>
      </c>
      <c r="R54" s="457">
        <f>+'Income Statement'!Q13+'Income Statement'!Q14+'Income Statement'!Q15+'Income Statement'!Q16+'Income Statement'!Q17+'Income Statement'!Q18</f>
        <v>14905.016</v>
      </c>
      <c r="S54" s="458">
        <f>+'Income Statement'!R13+'Income Statement'!R14+'Income Statement'!R15+'Income Statement'!R16+'Income Statement'!R17+'Income Statement'!R18</f>
        <v>14960.456</v>
      </c>
      <c r="T54" s="458">
        <f>+'Income Statement'!S13+'Income Statement'!S14+'Income Statement'!S15+'Income Statement'!S16+'Income Statement'!S17+'Income Statement'!S18</f>
        <v>14991.956</v>
      </c>
      <c r="U54" s="458">
        <f>+'Income Statement'!T13+'Income Statement'!T14+'Income Statement'!T15+'Income Statement'!T16+'Income Statement'!T17+'Income Statement'!T18</f>
        <v>15003.996</v>
      </c>
      <c r="V54" s="458">
        <f>+'Income Statement'!U13+'Income Statement'!U14+'Income Statement'!U15+'Income Statement'!U16+'Income Statement'!U17+'Income Statement'!U18</f>
        <v>15016.036</v>
      </c>
      <c r="W54" s="458">
        <f>+'Income Statement'!V13+'Income Statement'!V14+'Income Statement'!V15+'Income Statement'!V16+'Income Statement'!V17+'Income Statement'!V18</f>
        <v>15030.596</v>
      </c>
      <c r="X54" s="458">
        <f>+'Income Statement'!W13+'Income Statement'!W14+'Income Statement'!W15+'Income Statement'!W16+'Income Statement'!W17+'Income Statement'!W18</f>
        <v>18506.056</v>
      </c>
      <c r="Y54" s="458">
        <f>+'Income Statement'!X13+'Income Statement'!X14+'Income Statement'!X15+'Income Statement'!X16+'Income Statement'!X17+'Income Statement'!X18</f>
        <v>18523.74875</v>
      </c>
      <c r="Z54" s="458">
        <f>+'Income Statement'!Y13+'Income Statement'!Y14+'Income Statement'!Y15+'Income Statement'!Y16+'Income Statement'!Y17+'Income Statement'!Y18</f>
        <v>18542.92875</v>
      </c>
      <c r="AA54" s="458">
        <f>+'Income Statement'!Z13+'Income Statement'!Z14+'Income Statement'!Z15+'Income Statement'!Z16+'Income Statement'!Z17+'Income Statement'!Z18</f>
        <v>18557.908750000002</v>
      </c>
      <c r="AB54" s="458">
        <f>+'Income Statement'!AA13+'Income Statement'!AA14+'Income Statement'!AA15+'Income Statement'!AA16+'Income Statement'!AA17+'Income Statement'!AA18</f>
        <v>18574.28875</v>
      </c>
      <c r="AC54" s="459">
        <f>+'Income Statement'!AB13+'Income Statement'!AB14+'Income Statement'!AB15+'Income Statement'!AB16+'Income Statement'!AB17+'Income Statement'!AB18</f>
        <v>18599.1215</v>
      </c>
      <c r="AD54" s="457">
        <f>+'Income Statement'!AC13+'Income Statement'!AC14+'Income Statement'!AC15+'Income Statement'!AC16+'Income Statement'!AC17+'Income Statement'!AC18</f>
        <v>35692.403249999996</v>
      </c>
      <c r="AE54" s="458">
        <f>+'Income Statement'!AD13+'Income Statement'!AD14+'Income Statement'!AD15+'Income Statement'!AD16+'Income Statement'!AD17+'Income Statement'!AD18</f>
        <v>35712.42324999999</v>
      </c>
      <c r="AF54" s="458">
        <f>+'Income Statement'!AE13+'Income Statement'!AE14+'Income Statement'!AE15+'Income Statement'!AE16+'Income Statement'!AE17+'Income Statement'!AE18</f>
        <v>35739.076</v>
      </c>
      <c r="AG54" s="458">
        <f>+'Income Statement'!AF13+'Income Statement'!AF14+'Income Statement'!AF15+'Income Statement'!AF16+'Income Statement'!AF17+'Income Statement'!AF18</f>
        <v>35756.716</v>
      </c>
      <c r="AH54" s="458">
        <f>+'Income Statement'!AG13+'Income Statement'!AG14+'Income Statement'!AG15+'Income Statement'!AG16+'Income Statement'!AG17+'Income Statement'!AG18</f>
        <v>35780.655999999995</v>
      </c>
      <c r="AI54" s="458">
        <f>+'Income Statement'!AH13+'Income Statement'!AH14+'Income Statement'!AH15+'Income Statement'!AH16+'Income Statement'!AH17+'Income Statement'!AH18</f>
        <v>35808.14874999999</v>
      </c>
      <c r="AJ54" s="458">
        <f>+'Income Statement'!AI13+'Income Statement'!AI14+'Income Statement'!AI15+'Income Statement'!AI16+'Income Statement'!AI17+'Income Statement'!AI18</f>
        <v>35832.92874999999</v>
      </c>
      <c r="AK54" s="458">
        <f>+'Income Statement'!AJ13+'Income Statement'!AJ14+'Income Statement'!AJ15+'Income Statement'!AJ16+'Income Statement'!AJ17+'Income Statement'!AJ18</f>
        <v>35857.70875</v>
      </c>
      <c r="AL54" s="458">
        <f>+'Income Statement'!AK13+'Income Statement'!AK14+'Income Statement'!AK15+'Income Statement'!AK16+'Income Statement'!AK17+'Income Statement'!AK18</f>
        <v>35892.341499999995</v>
      </c>
      <c r="AM54" s="458">
        <f>+'Income Statement'!AL13+'Income Statement'!AL14+'Income Statement'!AL15+'Income Statement'!AL16+'Income Statement'!AL17+'Income Statement'!AL18</f>
        <v>35917.9615</v>
      </c>
      <c r="AN54" s="458">
        <f>+'Income Statement'!AM13+'Income Statement'!AM14+'Income Statement'!AM15+'Income Statement'!AM16+'Income Statement'!AM17+'Income Statement'!AM18</f>
        <v>35951.701499999996</v>
      </c>
      <c r="AO54" s="459">
        <f>+'Income Statement'!AN13+'Income Statement'!AN14+'Income Statement'!AN15+'Income Statement'!AN16+'Income Statement'!AN17+'Income Statement'!AN18</f>
        <v>35979.561499999996</v>
      </c>
      <c r="AP54" s="457">
        <f>+'Income Statement'!AO13+'Income Statement'!AO14+'Income Statement'!AO15+'Income Statement'!AO16+'Income Statement'!AO17+'Income Statement'!AO18</f>
        <v>62245.885749999994</v>
      </c>
      <c r="AQ54" s="458">
        <f>+'Income Statement'!AP13+'Income Statement'!AP14+'Income Statement'!AP15+'Income Statement'!AP16+'Income Statement'!AP17+'Income Statement'!AP18</f>
        <v>62286.11849999999</v>
      </c>
      <c r="AR54" s="458">
        <f>+'Income Statement'!AQ13+'Income Statement'!AQ14+'Income Statement'!AQ15+'Income Statement'!AQ16+'Income Statement'!AQ17+'Income Statement'!AQ18</f>
        <v>62321.53849999999</v>
      </c>
      <c r="AS54" s="458">
        <f>+'Income Statement'!AR13+'Income Statement'!AR14+'Income Statement'!AR15+'Income Statement'!AR16+'Income Statement'!AR17+'Income Statement'!AR18</f>
        <v>62363.678499999995</v>
      </c>
      <c r="AT54" s="458">
        <f>+'Income Statement'!AS13+'Income Statement'!AS14+'Income Statement'!AS15+'Income Statement'!AS16+'Income Statement'!AS17+'Income Statement'!AS18</f>
        <v>62412.92399999999</v>
      </c>
      <c r="AU54" s="458">
        <f>+'Income Statement'!AT13+'Income Statement'!AT14+'Income Statement'!AT15+'Income Statement'!AT16+'Income Statement'!AT17+'Income Statement'!AT18</f>
        <v>62457.02399999999</v>
      </c>
      <c r="AV54" s="458">
        <f>+'Income Statement'!AU13+'Income Statement'!AU14+'Income Statement'!AU15+'Income Statement'!AU16+'Income Statement'!AU17+'Income Statement'!AU18</f>
        <v>69773.44999999998</v>
      </c>
      <c r="AW54" s="458">
        <f>+'Income Statement'!AV13+'Income Statement'!AV14+'Income Statement'!AV15+'Income Statement'!AV16+'Income Statement'!AV17+'Income Statement'!AV18</f>
        <v>69826.84274999998</v>
      </c>
      <c r="AX54" s="458">
        <f>+'Income Statement'!AW13+'Income Statement'!AW14+'Income Statement'!AW15+'Income Statement'!AW16+'Income Statement'!AW17+'Income Statement'!AW18</f>
        <v>69885.9755</v>
      </c>
      <c r="AY54" s="458">
        <f>+'Income Statement'!AX13+'Income Statement'!AX14+'Income Statement'!AX15+'Income Statement'!AX16+'Income Statement'!AX17+'Income Statement'!AX18</f>
        <v>69939.5955</v>
      </c>
      <c r="AZ54" s="458">
        <f>+'Income Statement'!AY13+'Income Statement'!AY14+'Income Statement'!AY15+'Income Statement'!AY16+'Income Statement'!AY17+'Income Statement'!AY18</f>
        <v>70001.38824999999</v>
      </c>
      <c r="BA54" s="459">
        <f>+'Income Statement'!AZ13+'Income Statement'!AZ14+'Income Statement'!AZ15+'Income Statement'!AZ16+'Income Statement'!AZ17+'Income Statement'!AZ18</f>
        <v>70060.88824999999</v>
      </c>
      <c r="BB54" s="457">
        <f>+'Income Statement'!BA13+'Income Statement'!BA14+'Income Statement'!BA15+'Income Statement'!BA16+'Income Statement'!BA17+'Income Statement'!BA18</f>
        <v>105916.76389999998</v>
      </c>
      <c r="BC54" s="458">
        <f>+'Income Statement'!BB13+'Income Statement'!BB14+'Income Statement'!BB15+'Income Statement'!BB16+'Income Statement'!BB17+'Income Statement'!BB18</f>
        <v>105992.60939999999</v>
      </c>
      <c r="BD54" s="458">
        <f>+'Income Statement'!BC13+'Income Statement'!BC14+'Income Statement'!BC15+'Income Statement'!BC16+'Income Statement'!BC17+'Income Statement'!BC18</f>
        <v>106065.82939999999</v>
      </c>
      <c r="BE54" s="458">
        <f>+'Income Statement'!BD13+'Income Statement'!BD14+'Income Statement'!BD15+'Income Statement'!BD16+'Income Statement'!BD17+'Income Statement'!BD18</f>
        <v>106141.62214999998</v>
      </c>
      <c r="BF54" s="458">
        <f>+'Income Statement'!BE13+'Income Statement'!BE14+'Income Statement'!BE15+'Income Statement'!BE16+'Income Statement'!BE17+'Income Statement'!BE18</f>
        <v>106239.02764999997</v>
      </c>
      <c r="BG54" s="458">
        <f>+'Income Statement'!BF13+'Income Statement'!BF14+'Income Statement'!BF15+'Income Statement'!BF16+'Income Statement'!BF17+'Income Statement'!BF18</f>
        <v>106320.50764999999</v>
      </c>
      <c r="BH54" s="458">
        <f>+'Income Statement'!BG13+'Income Statement'!BG14+'Income Statement'!BG15+'Income Statement'!BG16+'Income Statement'!BG17+'Income Statement'!BG18</f>
        <v>113692.92714999997</v>
      </c>
      <c r="BI54" s="458">
        <f>+'Income Statement'!BH13+'Income Statement'!BH14+'Income Statement'!BH15+'Income Statement'!BH16+'Income Statement'!BH17+'Income Statement'!BH18</f>
        <v>113791.95989999999</v>
      </c>
      <c r="BJ54" s="458">
        <f>+'Income Statement'!BI13+'Income Statement'!BI14+'Income Statement'!BI15+'Income Statement'!BI16+'Income Statement'!BI17+'Income Statement'!BI18</f>
        <v>113892.61989999998</v>
      </c>
      <c r="BK54" s="458">
        <f>+'Income Statement'!BJ13+'Income Statement'!BJ14+'Income Statement'!BJ15+'Income Statement'!BJ16+'Income Statement'!BJ17+'Income Statement'!BJ18</f>
        <v>114009.20539999998</v>
      </c>
      <c r="BL54" s="458">
        <f>+'Income Statement'!BK13+'Income Statement'!BK14+'Income Statement'!BK15+'Income Statement'!BK16+'Income Statement'!BK17+'Income Statement'!BK18</f>
        <v>114121.11814999998</v>
      </c>
      <c r="BM54" s="459">
        <f>+'Income Statement'!BL13+'Income Statement'!BL14+'Income Statement'!BL15+'Income Statement'!BL16+'Income Statement'!BL17+'Income Statement'!BL18</f>
        <v>114242.07814999999</v>
      </c>
    </row>
    <row r="55" spans="2:65" ht="16.05" customHeight="1">
      <c r="B55" s="1027" t="s">
        <v>9</v>
      </c>
      <c r="C55" s="1415"/>
      <c r="D55" s="1416"/>
      <c r="E55" s="1417"/>
      <c r="F55" s="1409">
        <f>+'Income Statement'!E20</f>
        <v>0</v>
      </c>
      <c r="G55" s="1410">
        <f>+'Income Statement'!F20</f>
        <v>0</v>
      </c>
      <c r="H55" s="1410">
        <f>+'Income Statement'!G20</f>
        <v>0</v>
      </c>
      <c r="I55" s="1410">
        <f>+'Income Statement'!H20</f>
        <v>0</v>
      </c>
      <c r="J55" s="1410">
        <f>+'Income Statement'!I20</f>
        <v>0</v>
      </c>
      <c r="K55" s="1410">
        <f>+'Income Statement'!J20</f>
        <v>0</v>
      </c>
      <c r="L55" s="1410">
        <f>+'Income Statement'!K20</f>
        <v>0</v>
      </c>
      <c r="M55" s="1410">
        <f>+'Income Statement'!L20</f>
        <v>0</v>
      </c>
      <c r="N55" s="1410">
        <f>+'Income Statement'!M20</f>
        <v>0</v>
      </c>
      <c r="O55" s="1410">
        <f>+'Income Statement'!N20</f>
        <v>5800</v>
      </c>
      <c r="P55" s="1410">
        <f>+'Income Statement'!O20</f>
        <v>6200</v>
      </c>
      <c r="Q55" s="1411">
        <f>+'Income Statement'!P20</f>
        <v>6400</v>
      </c>
      <c r="R55" s="1409">
        <f>+'Income Statement'!Q20</f>
        <v>9083.333333333334</v>
      </c>
      <c r="S55" s="1410">
        <f>+'Income Statement'!R20</f>
        <v>9483.333333333334</v>
      </c>
      <c r="T55" s="1410">
        <f>+'Income Statement'!S20</f>
        <v>9933.333333333334</v>
      </c>
      <c r="U55" s="1410">
        <f>+'Income Statement'!T20</f>
        <v>10113.333333333334</v>
      </c>
      <c r="V55" s="1410">
        <f>+'Income Statement'!U20</f>
        <v>10293.333333333334</v>
      </c>
      <c r="W55" s="1410">
        <f>+'Income Statement'!V20</f>
        <v>10473.333333333334</v>
      </c>
      <c r="X55" s="1410">
        <f>+'Income Statement'!W20</f>
        <v>10703.333333333334</v>
      </c>
      <c r="Y55" s="1410">
        <f>+'Income Statement'!X20</f>
        <v>10883.333333333334</v>
      </c>
      <c r="Z55" s="1410">
        <f>+'Income Statement'!Y20</f>
        <v>11113.333333333334</v>
      </c>
      <c r="AA55" s="1410">
        <f>+'Income Statement'!Z20</f>
        <v>11293.333333333334</v>
      </c>
      <c r="AB55" s="1410">
        <f>+'Income Statement'!AA20</f>
        <v>11523.333333333334</v>
      </c>
      <c r="AC55" s="1411">
        <f>+'Income Statement'!AB20</f>
        <v>11753.333333333334</v>
      </c>
      <c r="AD55" s="1409">
        <f>+'Income Statement'!AC20</f>
        <v>15100</v>
      </c>
      <c r="AE55" s="1410">
        <f>+'Income Statement'!AD20</f>
        <v>15330</v>
      </c>
      <c r="AF55" s="1410">
        <f>+'Income Statement'!AE20</f>
        <v>15610</v>
      </c>
      <c r="AG55" s="1410">
        <f>+'Income Statement'!AF20</f>
        <v>15840</v>
      </c>
      <c r="AH55" s="1410">
        <f>+'Income Statement'!AG20</f>
        <v>16120</v>
      </c>
      <c r="AI55" s="1410">
        <f>+'Income Statement'!AH20</f>
        <v>16400</v>
      </c>
      <c r="AJ55" s="1410">
        <f>+'Income Statement'!AI20</f>
        <v>16680</v>
      </c>
      <c r="AK55" s="1410">
        <f>+'Income Statement'!AJ20</f>
        <v>16960</v>
      </c>
      <c r="AL55" s="1410">
        <f>+'Income Statement'!AK20</f>
        <v>17290</v>
      </c>
      <c r="AM55" s="1410">
        <f>+'Income Statement'!AL20</f>
        <v>17570</v>
      </c>
      <c r="AN55" s="1410">
        <f>+'Income Statement'!AM20</f>
        <v>17950</v>
      </c>
      <c r="AO55" s="1411">
        <f>+'Income Statement'!AN20</f>
        <v>18280</v>
      </c>
      <c r="AP55" s="1409">
        <f>+'Income Statement'!AO20</f>
        <v>23075</v>
      </c>
      <c r="AQ55" s="1410">
        <f>+'Income Statement'!AP20</f>
        <v>23455</v>
      </c>
      <c r="AR55" s="1410">
        <f>+'Income Statement'!AQ20</f>
        <v>23835</v>
      </c>
      <c r="AS55" s="1410">
        <f>+'Income Statement'!AR20</f>
        <v>24265</v>
      </c>
      <c r="AT55" s="1410">
        <f>+'Income Statement'!AS20</f>
        <v>24735</v>
      </c>
      <c r="AU55" s="1410">
        <f>+'Income Statement'!AT20</f>
        <v>25205</v>
      </c>
      <c r="AV55" s="1410">
        <f>+'Income Statement'!AU20</f>
        <v>25725</v>
      </c>
      <c r="AW55" s="1410">
        <f>+'Income Statement'!AV20</f>
        <v>26295</v>
      </c>
      <c r="AX55" s="1410">
        <f>+'Income Statement'!AW20</f>
        <v>26865</v>
      </c>
      <c r="AY55" s="1410">
        <f>+'Income Statement'!AX20</f>
        <v>27435</v>
      </c>
      <c r="AZ55" s="1410">
        <f>+'Income Statement'!AY20</f>
        <v>28055</v>
      </c>
      <c r="BA55" s="1411">
        <f>+'Income Statement'!AZ20</f>
        <v>28675</v>
      </c>
      <c r="BB55" s="1409">
        <f>+'Income Statement'!BA20</f>
        <v>36005.5</v>
      </c>
      <c r="BC55" s="1410">
        <f>+'Income Statement'!BB20</f>
        <v>36675.5</v>
      </c>
      <c r="BD55" s="1410">
        <f>+'Income Statement'!BC20</f>
        <v>37445.5</v>
      </c>
      <c r="BE55" s="1410">
        <f>+'Income Statement'!BD20</f>
        <v>38165.5</v>
      </c>
      <c r="BF55" s="1410">
        <f>+'Income Statement'!BE20</f>
        <v>39075.5</v>
      </c>
      <c r="BG55" s="1410">
        <f>+'Income Statement'!BF20</f>
        <v>39935.5</v>
      </c>
      <c r="BH55" s="1410">
        <f>+'Income Statement'!BG20</f>
        <v>40895.5</v>
      </c>
      <c r="BI55" s="1410">
        <f>+'Income Statement'!BH20</f>
        <v>41855.5</v>
      </c>
      <c r="BJ55" s="1410">
        <f>+'Income Statement'!BI20</f>
        <v>42915.5</v>
      </c>
      <c r="BK55" s="1410">
        <f>+'Income Statement'!BJ20</f>
        <v>43975.5</v>
      </c>
      <c r="BL55" s="1410">
        <f>+'Income Statement'!BK20</f>
        <v>45085.5</v>
      </c>
      <c r="BM55" s="1411">
        <f>+'Income Statement'!BL20</f>
        <v>46295.5</v>
      </c>
    </row>
    <row r="56" spans="2:65" ht="16.05" customHeight="1">
      <c r="B56" s="340" t="s">
        <v>10</v>
      </c>
      <c r="C56" s="1415"/>
      <c r="D56" s="1416"/>
      <c r="E56" s="1417"/>
      <c r="F56" s="1409">
        <f>+'Income Statement'!E27</f>
        <v>250</v>
      </c>
      <c r="G56" s="1410">
        <f>+'Income Statement'!F27</f>
        <v>250</v>
      </c>
      <c r="H56" s="1410">
        <f>+'Income Statement'!G27</f>
        <v>250</v>
      </c>
      <c r="I56" s="1410">
        <f>+'Income Statement'!H27</f>
        <v>250</v>
      </c>
      <c r="J56" s="1410">
        <f>+'Income Statement'!I27</f>
        <v>250</v>
      </c>
      <c r="K56" s="1410">
        <f>+'Income Statement'!J27</f>
        <v>250</v>
      </c>
      <c r="L56" s="1410">
        <f>+'Income Statement'!K27</f>
        <v>250</v>
      </c>
      <c r="M56" s="1410">
        <f>+'Income Statement'!L27</f>
        <v>250</v>
      </c>
      <c r="N56" s="1410">
        <f>+'Income Statement'!M27</f>
        <v>250</v>
      </c>
      <c r="O56" s="1410">
        <f>+'Income Statement'!N27</f>
        <v>250</v>
      </c>
      <c r="P56" s="1410">
        <f>+'Income Statement'!O27</f>
        <v>250</v>
      </c>
      <c r="Q56" s="1411">
        <f>+'Income Statement'!P27</f>
        <v>250</v>
      </c>
      <c r="R56" s="1409">
        <f>+'Income Statement'!Q27</f>
        <v>333.3333333333333</v>
      </c>
      <c r="S56" s="1410">
        <f>+'Income Statement'!R27</f>
        <v>333.3333333333333</v>
      </c>
      <c r="T56" s="1410">
        <f>+'Income Statement'!S27</f>
        <v>333.3333333333333</v>
      </c>
      <c r="U56" s="1410">
        <f>+'Income Statement'!T27</f>
        <v>333.3333333333333</v>
      </c>
      <c r="V56" s="1410">
        <f>+'Income Statement'!U27</f>
        <v>333.3333333333333</v>
      </c>
      <c r="W56" s="1410">
        <f>+'Income Statement'!V27</f>
        <v>333.3333333333333</v>
      </c>
      <c r="X56" s="1410">
        <f>+'Income Statement'!W27</f>
        <v>333.3333333333333</v>
      </c>
      <c r="Y56" s="1410">
        <f>+'Income Statement'!X27</f>
        <v>333.3333333333333</v>
      </c>
      <c r="Z56" s="1410">
        <f>+'Income Statement'!Y27</f>
        <v>333.3333333333333</v>
      </c>
      <c r="AA56" s="1410">
        <f>+'Income Statement'!Z27</f>
        <v>333.3333333333333</v>
      </c>
      <c r="AB56" s="1410">
        <f>+'Income Statement'!AA27</f>
        <v>333.3333333333333</v>
      </c>
      <c r="AC56" s="1411">
        <f>+'Income Statement'!AB27</f>
        <v>333.3333333333333</v>
      </c>
      <c r="AD56" s="1409">
        <f>+'Income Statement'!AC27</f>
        <v>416.6666666666667</v>
      </c>
      <c r="AE56" s="1410">
        <f>+'Income Statement'!AD27</f>
        <v>416.6666666666667</v>
      </c>
      <c r="AF56" s="1410">
        <f>+'Income Statement'!AE27</f>
        <v>416.6666666666667</v>
      </c>
      <c r="AG56" s="1410">
        <f>+'Income Statement'!AF27</f>
        <v>416.6666666666667</v>
      </c>
      <c r="AH56" s="1410">
        <f>+'Income Statement'!AG27</f>
        <v>416.6666666666667</v>
      </c>
      <c r="AI56" s="1410">
        <f>+'Income Statement'!AH27</f>
        <v>416.6666666666667</v>
      </c>
      <c r="AJ56" s="1410">
        <f>+'Income Statement'!AI27</f>
        <v>416.6666666666667</v>
      </c>
      <c r="AK56" s="1410">
        <f>+'Income Statement'!AJ27</f>
        <v>416.6666666666667</v>
      </c>
      <c r="AL56" s="1410">
        <f>+'Income Statement'!AK27</f>
        <v>416.6666666666667</v>
      </c>
      <c r="AM56" s="1410">
        <f>+'Income Statement'!AL27</f>
        <v>416.6666666666667</v>
      </c>
      <c r="AN56" s="1410">
        <f>+'Income Statement'!AM27</f>
        <v>416.6666666666667</v>
      </c>
      <c r="AO56" s="1411">
        <f>+'Income Statement'!AN27</f>
        <v>416.6666666666667</v>
      </c>
      <c r="AP56" s="1409">
        <f>+'Income Statement'!AO27</f>
        <v>500</v>
      </c>
      <c r="AQ56" s="1410">
        <f>+'Income Statement'!AP27</f>
        <v>500</v>
      </c>
      <c r="AR56" s="1410">
        <f>+'Income Statement'!AQ27</f>
        <v>500</v>
      </c>
      <c r="AS56" s="1410">
        <f>+'Income Statement'!AR27</f>
        <v>500</v>
      </c>
      <c r="AT56" s="1410">
        <f>+'Income Statement'!AS27</f>
        <v>500</v>
      </c>
      <c r="AU56" s="1410">
        <f>+'Income Statement'!AT27</f>
        <v>500</v>
      </c>
      <c r="AV56" s="1410">
        <f>+'Income Statement'!AU27</f>
        <v>500</v>
      </c>
      <c r="AW56" s="1410">
        <f>+'Income Statement'!AV27</f>
        <v>500</v>
      </c>
      <c r="AX56" s="1410">
        <f>+'Income Statement'!AW27</f>
        <v>500</v>
      </c>
      <c r="AY56" s="1410">
        <f>+'Income Statement'!AX27</f>
        <v>500</v>
      </c>
      <c r="AZ56" s="1410">
        <f>+'Income Statement'!AY27</f>
        <v>500</v>
      </c>
      <c r="BA56" s="1411">
        <f>+'Income Statement'!AZ27</f>
        <v>500</v>
      </c>
      <c r="BB56" s="1409">
        <f>+'Income Statement'!BA27</f>
        <v>583.3333333333334</v>
      </c>
      <c r="BC56" s="1410">
        <f>+'Income Statement'!BB27</f>
        <v>583.3333333333334</v>
      </c>
      <c r="BD56" s="1410">
        <f>+'Income Statement'!BC27</f>
        <v>583.3333333333334</v>
      </c>
      <c r="BE56" s="1410">
        <f>+'Income Statement'!BD27</f>
        <v>583.3333333333334</v>
      </c>
      <c r="BF56" s="1410">
        <f>+'Income Statement'!BE27</f>
        <v>583.3333333333334</v>
      </c>
      <c r="BG56" s="1410">
        <f>+'Income Statement'!BF27</f>
        <v>583.3333333333334</v>
      </c>
      <c r="BH56" s="1410">
        <f>+'Income Statement'!BG27</f>
        <v>583.3333333333334</v>
      </c>
      <c r="BI56" s="1410">
        <f>+'Income Statement'!BH27</f>
        <v>583.3333333333334</v>
      </c>
      <c r="BJ56" s="1410">
        <f>+'Income Statement'!BI27</f>
        <v>583.3333333333334</v>
      </c>
      <c r="BK56" s="1410">
        <f>+'Income Statement'!BJ27</f>
        <v>583.3333333333334</v>
      </c>
      <c r="BL56" s="1410">
        <f>+'Income Statement'!BK27</f>
        <v>583.3333333333334</v>
      </c>
      <c r="BM56" s="1411">
        <f>+'Income Statement'!BL27</f>
        <v>583.3333333333334</v>
      </c>
    </row>
    <row r="57" spans="2:65" ht="16.05" customHeight="1">
      <c r="B57" s="340" t="s">
        <v>1</v>
      </c>
      <c r="C57" s="1415"/>
      <c r="D57" s="1416"/>
      <c r="E57" s="1417"/>
      <c r="F57" s="1409">
        <f>+'Income Statement'!E32</f>
        <v>0</v>
      </c>
      <c r="G57" s="1410">
        <f>+'Income Statement'!F32</f>
        <v>0</v>
      </c>
      <c r="H57" s="1410">
        <f>+'Income Statement'!G32</f>
        <v>0</v>
      </c>
      <c r="I57" s="1410">
        <f>+'Income Statement'!H32</f>
        <v>0</v>
      </c>
      <c r="J57" s="1410">
        <f>+'Income Statement'!I32</f>
        <v>0</v>
      </c>
      <c r="K57" s="1410">
        <f>+'Income Statement'!J32</f>
        <v>0</v>
      </c>
      <c r="L57" s="1410">
        <f>+'Income Statement'!K32</f>
        <v>0</v>
      </c>
      <c r="M57" s="1410">
        <f>+'Income Statement'!L32</f>
        <v>0</v>
      </c>
      <c r="N57" s="1410">
        <f>+'Income Statement'!M32</f>
        <v>0</v>
      </c>
      <c r="O57" s="1410">
        <f>+'Income Statement'!N32</f>
        <v>3533.3333333333335</v>
      </c>
      <c r="P57" s="1410">
        <f>+'Income Statement'!O32</f>
        <v>3533.3333333333335</v>
      </c>
      <c r="Q57" s="1411">
        <f>+'Income Statement'!P32</f>
        <v>3533.3333333333335</v>
      </c>
      <c r="R57" s="1409">
        <f>+'Income Statement'!Q32</f>
        <v>8263.333333333334</v>
      </c>
      <c r="S57" s="1410">
        <f>+'Income Statement'!R32</f>
        <v>8263.333333333334</v>
      </c>
      <c r="T57" s="1410">
        <f>+'Income Statement'!S32</f>
        <v>8263.333333333334</v>
      </c>
      <c r="U57" s="1410">
        <f>+'Income Statement'!T32</f>
        <v>8263.333333333334</v>
      </c>
      <c r="V57" s="1410">
        <f>+'Income Statement'!U32</f>
        <v>8263.333333333334</v>
      </c>
      <c r="W57" s="1410">
        <f>+'Income Statement'!V32</f>
        <v>8263.333333333334</v>
      </c>
      <c r="X57" s="1410">
        <f>+'Income Statement'!W32</f>
        <v>8263.333333333334</v>
      </c>
      <c r="Y57" s="1410">
        <f>+'Income Statement'!X32</f>
        <v>8263.333333333334</v>
      </c>
      <c r="Z57" s="1410">
        <f>+'Income Statement'!Y32</f>
        <v>8263.333333333334</v>
      </c>
      <c r="AA57" s="1410">
        <f>+'Income Statement'!Z32</f>
        <v>8263.333333333334</v>
      </c>
      <c r="AB57" s="1410">
        <f>+'Income Statement'!AA32</f>
        <v>8263.333333333334</v>
      </c>
      <c r="AC57" s="1411">
        <f>+'Income Statement'!AB32</f>
        <v>8263.333333333334</v>
      </c>
      <c r="AD57" s="1409">
        <f>+'Income Statement'!AC32</f>
        <v>9781.333333333332</v>
      </c>
      <c r="AE57" s="1410">
        <f>+'Income Statement'!AD32</f>
        <v>9781.333333333332</v>
      </c>
      <c r="AF57" s="1410">
        <f>+'Income Statement'!AE32</f>
        <v>9781.333333333332</v>
      </c>
      <c r="AG57" s="1410">
        <f>+'Income Statement'!AF32</f>
        <v>9781.333333333332</v>
      </c>
      <c r="AH57" s="1410">
        <f>+'Income Statement'!AG32</f>
        <v>9781.333333333332</v>
      </c>
      <c r="AI57" s="1410">
        <f>+'Income Statement'!AH32</f>
        <v>9781.333333333332</v>
      </c>
      <c r="AJ57" s="1410">
        <f>+'Income Statement'!AI32</f>
        <v>9781.333333333332</v>
      </c>
      <c r="AK57" s="1410">
        <f>+'Income Statement'!AJ32</f>
        <v>9781.333333333332</v>
      </c>
      <c r="AL57" s="1410">
        <f>+'Income Statement'!AK32</f>
        <v>9781.333333333332</v>
      </c>
      <c r="AM57" s="1410">
        <f>+'Income Statement'!AL32</f>
        <v>9781.333333333332</v>
      </c>
      <c r="AN57" s="1410">
        <f>+'Income Statement'!AM32</f>
        <v>9781.333333333332</v>
      </c>
      <c r="AO57" s="1411">
        <f>+'Income Statement'!AN32</f>
        <v>9781.333333333332</v>
      </c>
      <c r="AP57" s="1409">
        <f>+'Income Statement'!AO32</f>
        <v>11422.8</v>
      </c>
      <c r="AQ57" s="1410">
        <f>+'Income Statement'!AP32</f>
        <v>11422.8</v>
      </c>
      <c r="AR57" s="1410">
        <f>+'Income Statement'!AQ32</f>
        <v>11422.8</v>
      </c>
      <c r="AS57" s="1410">
        <f>+'Income Statement'!AR32</f>
        <v>11422.8</v>
      </c>
      <c r="AT57" s="1410">
        <f>+'Income Statement'!AS32</f>
        <v>11422.8</v>
      </c>
      <c r="AU57" s="1410">
        <f>+'Income Statement'!AT32</f>
        <v>11422.8</v>
      </c>
      <c r="AV57" s="1410">
        <f>+'Income Statement'!AU32</f>
        <v>11422.8</v>
      </c>
      <c r="AW57" s="1410">
        <f>+'Income Statement'!AV32</f>
        <v>11422.8</v>
      </c>
      <c r="AX57" s="1410">
        <f>+'Income Statement'!AW32</f>
        <v>11422.8</v>
      </c>
      <c r="AY57" s="1410">
        <f>+'Income Statement'!AX32</f>
        <v>11422.8</v>
      </c>
      <c r="AZ57" s="1410">
        <f>+'Income Statement'!AY32</f>
        <v>11422.8</v>
      </c>
      <c r="BA57" s="1411">
        <f>+'Income Statement'!AZ32</f>
        <v>11422.8</v>
      </c>
      <c r="BB57" s="1409">
        <f>+'Income Statement'!BA32</f>
        <v>13211.080000000002</v>
      </c>
      <c r="BC57" s="1410">
        <f>+'Income Statement'!BB32</f>
        <v>13211.080000000002</v>
      </c>
      <c r="BD57" s="1410">
        <f>+'Income Statement'!BC32</f>
        <v>13211.080000000002</v>
      </c>
      <c r="BE57" s="1410">
        <f>+'Income Statement'!BD32</f>
        <v>13211.080000000002</v>
      </c>
      <c r="BF57" s="1410">
        <f>+'Income Statement'!BE32</f>
        <v>13211.080000000002</v>
      </c>
      <c r="BG57" s="1410">
        <f>+'Income Statement'!BF32</f>
        <v>13211.080000000002</v>
      </c>
      <c r="BH57" s="1410">
        <f>+'Income Statement'!BG32</f>
        <v>13211.080000000002</v>
      </c>
      <c r="BI57" s="1410">
        <f>+'Income Statement'!BH32</f>
        <v>13211.080000000002</v>
      </c>
      <c r="BJ57" s="1410">
        <f>+'Income Statement'!BI32</f>
        <v>13211.080000000002</v>
      </c>
      <c r="BK57" s="1410">
        <f>+'Income Statement'!BJ32</f>
        <v>13211.080000000002</v>
      </c>
      <c r="BL57" s="1410">
        <f>+'Income Statement'!BK32</f>
        <v>13211.080000000002</v>
      </c>
      <c r="BM57" s="1411">
        <f>+'Income Statement'!BL32</f>
        <v>13211.080000000002</v>
      </c>
    </row>
    <row r="58" spans="2:65" ht="16.05" customHeight="1">
      <c r="B58" s="340" t="s">
        <v>0</v>
      </c>
      <c r="C58" s="1415"/>
      <c r="D58" s="1416"/>
      <c r="E58" s="1417"/>
      <c r="F58" s="1409">
        <f>+'Income Statement'!E43</f>
        <v>4008.141331275723</v>
      </c>
      <c r="G58" s="1410">
        <f>+'Income Statement'!F43</f>
        <v>4008.141331275723</v>
      </c>
      <c r="H58" s="1410">
        <f>+'Income Statement'!G43</f>
        <v>3000.1925814814813</v>
      </c>
      <c r="I58" s="1410">
        <f>+'Income Statement'!H43</f>
        <v>2750.442222222222</v>
      </c>
      <c r="J58" s="1410">
        <f>+'Income Statement'!I43</f>
        <v>1999.8141703703704</v>
      </c>
      <c r="K58" s="1410">
        <f>+'Income Statement'!J43</f>
        <v>1999.8141703703704</v>
      </c>
      <c r="L58" s="1410">
        <f>+'Income Statement'!K43</f>
        <v>1250.1287703703704</v>
      </c>
      <c r="M58" s="1410">
        <f>+'Income Statement'!L43</f>
        <v>1250.1287703703704</v>
      </c>
      <c r="N58" s="1410">
        <f>+'Income Statement'!M43</f>
        <v>7307.938271604939</v>
      </c>
      <c r="O58" s="1410">
        <f>+'Income Statement'!N43</f>
        <v>9602.895061728395</v>
      </c>
      <c r="P58" s="1410">
        <f>+'Income Statement'!O43</f>
        <v>9602.895061728395</v>
      </c>
      <c r="Q58" s="1411">
        <f>+'Income Statement'!P43</f>
        <v>9602.895061728395</v>
      </c>
      <c r="R58" s="1409">
        <f>+'Income Statement'!Q43</f>
        <v>14651.8</v>
      </c>
      <c r="S58" s="1410">
        <f>+'Income Statement'!R43</f>
        <v>14651.8</v>
      </c>
      <c r="T58" s="1410">
        <f>+'Income Statement'!S43</f>
        <v>14651.8</v>
      </c>
      <c r="U58" s="1410">
        <f>+'Income Statement'!T43</f>
        <v>14651.8</v>
      </c>
      <c r="V58" s="1410">
        <f>+'Income Statement'!U43</f>
        <v>14651.8</v>
      </c>
      <c r="W58" s="1410">
        <f>+'Income Statement'!V43</f>
        <v>14651.8</v>
      </c>
      <c r="X58" s="1410">
        <f>+'Income Statement'!W43</f>
        <v>14651.8</v>
      </c>
      <c r="Y58" s="1410">
        <f>+'Income Statement'!X43</f>
        <v>14651.8</v>
      </c>
      <c r="Z58" s="1410">
        <f>+'Income Statement'!Y43</f>
        <v>14651.8</v>
      </c>
      <c r="AA58" s="1410">
        <f>+'Income Statement'!Z43</f>
        <v>14651.8</v>
      </c>
      <c r="AB58" s="1410">
        <f>+'Income Statement'!AA43</f>
        <v>14651.8</v>
      </c>
      <c r="AC58" s="1411">
        <f>+'Income Statement'!AB43</f>
        <v>14651.8</v>
      </c>
      <c r="AD58" s="1409">
        <f>+'Income Statement'!AC43</f>
        <v>25401.903395061723</v>
      </c>
      <c r="AE58" s="1410">
        <f>+'Income Statement'!AD43</f>
        <v>25401.903395061723</v>
      </c>
      <c r="AF58" s="1410">
        <f>+'Income Statement'!AE43</f>
        <v>25401.903395061723</v>
      </c>
      <c r="AG58" s="1410">
        <f>+'Income Statement'!AF43</f>
        <v>25401.903395061723</v>
      </c>
      <c r="AH58" s="1410">
        <f>+'Income Statement'!AG43</f>
        <v>25401.903395061723</v>
      </c>
      <c r="AI58" s="1410">
        <f>+'Income Statement'!AH43</f>
        <v>25401.903395061723</v>
      </c>
      <c r="AJ58" s="1410">
        <f>+'Income Statement'!AI43</f>
        <v>25401.903395061723</v>
      </c>
      <c r="AK58" s="1410">
        <f>+'Income Statement'!AJ43</f>
        <v>25401.903395061723</v>
      </c>
      <c r="AL58" s="1410">
        <f>+'Income Statement'!AK43</f>
        <v>25401.903395061723</v>
      </c>
      <c r="AM58" s="1410">
        <f>+'Income Statement'!AL43</f>
        <v>25401.903395061723</v>
      </c>
      <c r="AN58" s="1410">
        <f>+'Income Statement'!AM43</f>
        <v>25401.903395061723</v>
      </c>
      <c r="AO58" s="1411">
        <f>+'Income Statement'!AN43</f>
        <v>25401.903395061723</v>
      </c>
      <c r="AP58" s="1409">
        <f>+'Income Statement'!AO43</f>
        <v>26078.32592592592</v>
      </c>
      <c r="AQ58" s="1410">
        <f>+'Income Statement'!AP43</f>
        <v>26078.32592592592</v>
      </c>
      <c r="AR58" s="1410">
        <f>+'Income Statement'!AQ43</f>
        <v>26078.32592592592</v>
      </c>
      <c r="AS58" s="1410">
        <f>+'Income Statement'!AR43</f>
        <v>26078.32592592592</v>
      </c>
      <c r="AT58" s="1410">
        <f>+'Income Statement'!AS43</f>
        <v>26078.32592592592</v>
      </c>
      <c r="AU58" s="1410">
        <f>+'Income Statement'!AT43</f>
        <v>26078.32592592592</v>
      </c>
      <c r="AV58" s="1410">
        <f>+'Income Statement'!AU43</f>
        <v>26078.32592592592</v>
      </c>
      <c r="AW58" s="1410">
        <f>+'Income Statement'!AV43</f>
        <v>26078.32592592592</v>
      </c>
      <c r="AX58" s="1410">
        <f>+'Income Statement'!AW43</f>
        <v>26078.32592592592</v>
      </c>
      <c r="AY58" s="1410">
        <f>+'Income Statement'!AX43</f>
        <v>26078.32592592592</v>
      </c>
      <c r="AZ58" s="1410">
        <f>+'Income Statement'!AY43</f>
        <v>26078.32592592592</v>
      </c>
      <c r="BA58" s="1411">
        <f>+'Income Statement'!AZ43</f>
        <v>26078.32592592592</v>
      </c>
      <c r="BB58" s="1409">
        <f>+'Income Statement'!BA43</f>
        <v>31767.459876543206</v>
      </c>
      <c r="BC58" s="1410">
        <f>+'Income Statement'!BB43</f>
        <v>31767.459876543206</v>
      </c>
      <c r="BD58" s="1410">
        <f>+'Income Statement'!BC43</f>
        <v>31767.459876543206</v>
      </c>
      <c r="BE58" s="1410">
        <f>+'Income Statement'!BD43</f>
        <v>31767.459876543206</v>
      </c>
      <c r="BF58" s="1410">
        <f>+'Income Statement'!BE43</f>
        <v>31767.459876543206</v>
      </c>
      <c r="BG58" s="1410">
        <f>+'Income Statement'!BF43</f>
        <v>31767.459876543206</v>
      </c>
      <c r="BH58" s="1410">
        <f>+'Income Statement'!BG43</f>
        <v>31767.459876543206</v>
      </c>
      <c r="BI58" s="1410">
        <f>+'Income Statement'!BH43</f>
        <v>31767.459876543206</v>
      </c>
      <c r="BJ58" s="1410">
        <f>+'Income Statement'!BI43</f>
        <v>31767.459876543206</v>
      </c>
      <c r="BK58" s="1410">
        <f>+'Income Statement'!BJ43</f>
        <v>31767.459876543206</v>
      </c>
      <c r="BL58" s="1410">
        <f>+'Income Statement'!BK43</f>
        <v>31767.459876543206</v>
      </c>
      <c r="BM58" s="1411">
        <f>+'Income Statement'!BL43</f>
        <v>31767.459876543206</v>
      </c>
    </row>
    <row r="59" spans="2:65" ht="16.05" customHeight="1">
      <c r="B59" s="340" t="s">
        <v>336</v>
      </c>
      <c r="C59" s="1415"/>
      <c r="D59" s="1416"/>
      <c r="E59" s="1417"/>
      <c r="F59" s="1409">
        <f>+'D&amp;A'!E8</f>
        <v>3000</v>
      </c>
      <c r="G59" s="1410">
        <f>+'D&amp;A'!F8</f>
        <v>0</v>
      </c>
      <c r="H59" s="1410">
        <f>+'D&amp;A'!G8</f>
        <v>0</v>
      </c>
      <c r="I59" s="1410">
        <f>+'D&amp;A'!H8</f>
        <v>0</v>
      </c>
      <c r="J59" s="1410">
        <f>+'D&amp;A'!I8</f>
        <v>0</v>
      </c>
      <c r="K59" s="1410">
        <f>+'D&amp;A'!J8</f>
        <v>0</v>
      </c>
      <c r="L59" s="1410">
        <f>+'D&amp;A'!K8</f>
        <v>0</v>
      </c>
      <c r="M59" s="1410">
        <f>+'D&amp;A'!L8</f>
        <v>0</v>
      </c>
      <c r="N59" s="1410">
        <f>+'D&amp;A'!M8</f>
        <v>0</v>
      </c>
      <c r="O59" s="1410">
        <f>+'D&amp;A'!N8</f>
        <v>10000</v>
      </c>
      <c r="P59" s="1410">
        <f>+'D&amp;A'!O8</f>
        <v>0</v>
      </c>
      <c r="Q59" s="1411">
        <f>+'D&amp;A'!P8</f>
        <v>0</v>
      </c>
      <c r="R59" s="1409">
        <f>+'D&amp;A'!Q8</f>
        <v>26294.95679012346</v>
      </c>
      <c r="S59" s="1410">
        <f>+'D&amp;A'!R8</f>
        <v>2294.9567901234586</v>
      </c>
      <c r="T59" s="1410">
        <f>+'D&amp;A'!S8</f>
        <v>2294.9567901234586</v>
      </c>
      <c r="U59" s="1410">
        <f>+'D&amp;A'!T8</f>
        <v>2294.9567901234586</v>
      </c>
      <c r="V59" s="1410">
        <f>+'D&amp;A'!U8</f>
        <v>2294.9567901234586</v>
      </c>
      <c r="W59" s="1410">
        <f>+'D&amp;A'!V8</f>
        <v>2294.9567901234586</v>
      </c>
      <c r="X59" s="1410">
        <f>+'D&amp;A'!W8</f>
        <v>2294.9567901234586</v>
      </c>
      <c r="Y59" s="1410">
        <f>+'D&amp;A'!X8</f>
        <v>2294.9567901234586</v>
      </c>
      <c r="Z59" s="1410">
        <f>+'D&amp;A'!Y8</f>
        <v>2294.9567901234586</v>
      </c>
      <c r="AA59" s="1410">
        <f>+'D&amp;A'!Z8</f>
        <v>2294.9567901234586</v>
      </c>
      <c r="AB59" s="1410">
        <f>+'D&amp;A'!AA8</f>
        <v>2294.9567901234586</v>
      </c>
      <c r="AC59" s="1411">
        <f>+'D&amp;A'!AB8</f>
        <v>2294.9567901234586</v>
      </c>
      <c r="AD59" s="1409">
        <f>+'D&amp;A'!AC8</f>
        <v>39589.91358024691</v>
      </c>
      <c r="AE59" s="1410">
        <f>+'D&amp;A'!AD8</f>
        <v>4589.913580246914</v>
      </c>
      <c r="AF59" s="1410">
        <f>+'D&amp;A'!AE8</f>
        <v>4589.913580246914</v>
      </c>
      <c r="AG59" s="1410">
        <f>+'D&amp;A'!AF8</f>
        <v>4589.913580246914</v>
      </c>
      <c r="AH59" s="1410">
        <f>+'D&amp;A'!AG8</f>
        <v>4589.913580246914</v>
      </c>
      <c r="AI59" s="1410">
        <f>+'D&amp;A'!AH8</f>
        <v>4589.913580246914</v>
      </c>
      <c r="AJ59" s="1410">
        <f>+'D&amp;A'!AI8</f>
        <v>4589.913580246914</v>
      </c>
      <c r="AK59" s="1410">
        <f>+'D&amp;A'!AJ8</f>
        <v>4589.913580246914</v>
      </c>
      <c r="AL59" s="1410">
        <f>+'D&amp;A'!AK8</f>
        <v>4589.913580246914</v>
      </c>
      <c r="AM59" s="1410">
        <f>+'D&amp;A'!AL8</f>
        <v>4589.913580246914</v>
      </c>
      <c r="AN59" s="1410">
        <f>+'D&amp;A'!AM8</f>
        <v>4589.913580246914</v>
      </c>
      <c r="AO59" s="1411">
        <f>+'D&amp;A'!AN8</f>
        <v>4589.913580246914</v>
      </c>
      <c r="AP59" s="1409">
        <f>+'D&amp;A'!AO8</f>
        <v>50589.91358024691</v>
      </c>
      <c r="AQ59" s="1410">
        <f>+'D&amp;A'!AP8</f>
        <v>4589.913580246914</v>
      </c>
      <c r="AR59" s="1410">
        <f>+'D&amp;A'!AQ8</f>
        <v>4589.913580246914</v>
      </c>
      <c r="AS59" s="1410">
        <f>+'D&amp;A'!AR8</f>
        <v>4589.913580246914</v>
      </c>
      <c r="AT59" s="1410">
        <f>+'D&amp;A'!AS8</f>
        <v>4589.913580246914</v>
      </c>
      <c r="AU59" s="1410">
        <f>+'D&amp;A'!AT8</f>
        <v>4589.913580246914</v>
      </c>
      <c r="AV59" s="1410">
        <f>+'D&amp;A'!AU8</f>
        <v>4589.913580246914</v>
      </c>
      <c r="AW59" s="1410">
        <f>+'D&amp;A'!AV8</f>
        <v>4589.913580246914</v>
      </c>
      <c r="AX59" s="1410">
        <f>+'D&amp;A'!AW8</f>
        <v>4589.913580246914</v>
      </c>
      <c r="AY59" s="1410">
        <f>+'D&amp;A'!AX8</f>
        <v>4589.913580246914</v>
      </c>
      <c r="AZ59" s="1410">
        <f>+'D&amp;A'!AY8</f>
        <v>4589.913580246914</v>
      </c>
      <c r="BA59" s="1411">
        <f>+'D&amp;A'!AZ8</f>
        <v>4589.913580246914</v>
      </c>
      <c r="BB59" s="1409">
        <f>+'D&amp;A'!BA8</f>
        <v>51589.91358024691</v>
      </c>
      <c r="BC59" s="1410">
        <f>+'D&amp;A'!BB8</f>
        <v>4589.913580246914</v>
      </c>
      <c r="BD59" s="1410">
        <f>+'D&amp;A'!BC8</f>
        <v>4589.913580246914</v>
      </c>
      <c r="BE59" s="1410">
        <f>+'D&amp;A'!BD8</f>
        <v>4589.913580246914</v>
      </c>
      <c r="BF59" s="1410">
        <f>+'D&amp;A'!BE8</f>
        <v>4589.913580246914</v>
      </c>
      <c r="BG59" s="1410">
        <f>+'D&amp;A'!BF8</f>
        <v>4589.913580246914</v>
      </c>
      <c r="BH59" s="1410">
        <f>+'D&amp;A'!BG8</f>
        <v>4589.913580246914</v>
      </c>
      <c r="BI59" s="1410">
        <f>+'D&amp;A'!BH8</f>
        <v>4589.913580246914</v>
      </c>
      <c r="BJ59" s="1410">
        <f>+'D&amp;A'!BI8</f>
        <v>4589.913580246914</v>
      </c>
      <c r="BK59" s="1410">
        <f>+'D&amp;A'!BJ8</f>
        <v>4589.913580246914</v>
      </c>
      <c r="BL59" s="1410">
        <f>+'D&amp;A'!BK8</f>
        <v>4589.913580246914</v>
      </c>
      <c r="BM59" s="1411">
        <f>+'D&amp;A'!BL8</f>
        <v>4589.913580246914</v>
      </c>
    </row>
    <row r="60" spans="2:65" ht="16.05" customHeight="1" thickBot="1">
      <c r="B60" s="408" t="s">
        <v>337</v>
      </c>
      <c r="C60" s="1418"/>
      <c r="D60" s="1419"/>
      <c r="E60" s="1420"/>
      <c r="F60" s="460">
        <f>+'D&amp;A'!E37</f>
        <v>0</v>
      </c>
      <c r="G60" s="461">
        <f>+'D&amp;A'!F37</f>
        <v>0</v>
      </c>
      <c r="H60" s="461">
        <f>+'D&amp;A'!G37</f>
        <v>0</v>
      </c>
      <c r="I60" s="461">
        <f>+'D&amp;A'!H37</f>
        <v>0</v>
      </c>
      <c r="J60" s="461">
        <f>+'D&amp;A'!I37</f>
        <v>0</v>
      </c>
      <c r="K60" s="461">
        <f>+'D&amp;A'!J37</f>
        <v>0</v>
      </c>
      <c r="L60" s="461">
        <f>+'D&amp;A'!K37</f>
        <v>0</v>
      </c>
      <c r="M60" s="461">
        <f>+'D&amp;A'!L37</f>
        <v>0</v>
      </c>
      <c r="N60" s="461">
        <f>+'D&amp;A'!M37</f>
        <v>0</v>
      </c>
      <c r="O60" s="461">
        <f>+'D&amp;A'!N37</f>
        <v>0</v>
      </c>
      <c r="P60" s="461">
        <f>+'D&amp;A'!O37</f>
        <v>0</v>
      </c>
      <c r="Q60" s="462">
        <f>+'D&amp;A'!P37</f>
        <v>0</v>
      </c>
      <c r="R60" s="460">
        <f>+'D&amp;A'!Q37</f>
        <v>0</v>
      </c>
      <c r="S60" s="461">
        <f>+'D&amp;A'!R37</f>
        <v>0</v>
      </c>
      <c r="T60" s="461">
        <f>+'D&amp;A'!S37</f>
        <v>0</v>
      </c>
      <c r="U60" s="461">
        <f>+'D&amp;A'!T37</f>
        <v>0</v>
      </c>
      <c r="V60" s="461">
        <f>+'D&amp;A'!U37</f>
        <v>0</v>
      </c>
      <c r="W60" s="461">
        <f>+'D&amp;A'!V37</f>
        <v>0</v>
      </c>
      <c r="X60" s="461">
        <f>+'D&amp;A'!W37</f>
        <v>0</v>
      </c>
      <c r="Y60" s="461">
        <f>+'D&amp;A'!X37</f>
        <v>0</v>
      </c>
      <c r="Z60" s="461">
        <f>+'D&amp;A'!Y37</f>
        <v>0</v>
      </c>
      <c r="AA60" s="461">
        <f>+'D&amp;A'!Z37</f>
        <v>0</v>
      </c>
      <c r="AB60" s="461">
        <f>+'D&amp;A'!AA37</f>
        <v>0</v>
      </c>
      <c r="AC60" s="462">
        <f>+'D&amp;A'!AB37</f>
        <v>0</v>
      </c>
      <c r="AD60" s="460">
        <f>+'D&amp;A'!AC37</f>
        <v>0</v>
      </c>
      <c r="AE60" s="461">
        <f>+'D&amp;A'!AD37</f>
        <v>0</v>
      </c>
      <c r="AF60" s="461">
        <f>+'D&amp;A'!AE37</f>
        <v>0</v>
      </c>
      <c r="AG60" s="461">
        <f>+'D&amp;A'!AF37</f>
        <v>0</v>
      </c>
      <c r="AH60" s="461">
        <f>+'D&amp;A'!AG37</f>
        <v>0</v>
      </c>
      <c r="AI60" s="461">
        <f>+'D&amp;A'!AH37</f>
        <v>0</v>
      </c>
      <c r="AJ60" s="461">
        <f>+'D&amp;A'!AI37</f>
        <v>0</v>
      </c>
      <c r="AK60" s="461">
        <f>+'D&amp;A'!AJ37</f>
        <v>0</v>
      </c>
      <c r="AL60" s="461">
        <f>+'D&amp;A'!AK37</f>
        <v>0</v>
      </c>
      <c r="AM60" s="461">
        <f>+'D&amp;A'!AL37</f>
        <v>0</v>
      </c>
      <c r="AN60" s="461">
        <f>+'D&amp;A'!AM37</f>
        <v>0</v>
      </c>
      <c r="AO60" s="462">
        <f>+'D&amp;A'!AN37</f>
        <v>0</v>
      </c>
      <c r="AP60" s="460">
        <f>+'D&amp;A'!AO37</f>
        <v>0</v>
      </c>
      <c r="AQ60" s="461">
        <f>+'D&amp;A'!AP37</f>
        <v>0</v>
      </c>
      <c r="AR60" s="461">
        <f>+'D&amp;A'!AQ37</f>
        <v>0</v>
      </c>
      <c r="AS60" s="461">
        <f>+'D&amp;A'!AR37</f>
        <v>0</v>
      </c>
      <c r="AT60" s="461">
        <f>+'D&amp;A'!AS37</f>
        <v>0</v>
      </c>
      <c r="AU60" s="461">
        <f>+'D&amp;A'!AT37</f>
        <v>0</v>
      </c>
      <c r="AV60" s="461">
        <f>+'D&amp;A'!AU37</f>
        <v>0</v>
      </c>
      <c r="AW60" s="461">
        <f>+'D&amp;A'!AV37</f>
        <v>0</v>
      </c>
      <c r="AX60" s="461">
        <f>+'D&amp;A'!AW37</f>
        <v>0</v>
      </c>
      <c r="AY60" s="461">
        <f>+'D&amp;A'!AX37</f>
        <v>0</v>
      </c>
      <c r="AZ60" s="461">
        <f>+'D&amp;A'!AY37</f>
        <v>0</v>
      </c>
      <c r="BA60" s="462">
        <f>+'D&amp;A'!AZ37</f>
        <v>0</v>
      </c>
      <c r="BB60" s="460">
        <f>+'D&amp;A'!BA37</f>
        <v>0</v>
      </c>
      <c r="BC60" s="461">
        <f>+'D&amp;A'!BB37</f>
        <v>0</v>
      </c>
      <c r="BD60" s="461">
        <f>+'D&amp;A'!BC37</f>
        <v>0</v>
      </c>
      <c r="BE60" s="461">
        <f>+'D&amp;A'!BD37</f>
        <v>0</v>
      </c>
      <c r="BF60" s="461">
        <f>+'D&amp;A'!BE37</f>
        <v>0</v>
      </c>
      <c r="BG60" s="461">
        <f>+'D&amp;A'!BF37</f>
        <v>0</v>
      </c>
      <c r="BH60" s="461">
        <f>+'D&amp;A'!BG37</f>
        <v>0</v>
      </c>
      <c r="BI60" s="461">
        <f>+'D&amp;A'!BH37</f>
        <v>0</v>
      </c>
      <c r="BJ60" s="461">
        <f>+'D&amp;A'!BI37</f>
        <v>0</v>
      </c>
      <c r="BK60" s="461">
        <f>+'D&amp;A'!BJ37</f>
        <v>0</v>
      </c>
      <c r="BL60" s="461">
        <f>+'D&amp;A'!BK37</f>
        <v>0</v>
      </c>
      <c r="BM60" s="462">
        <f>+'D&amp;A'!BL37</f>
        <v>0</v>
      </c>
    </row>
    <row r="63" ht="16.2" thickBot="1"/>
    <row r="64" spans="2:65" s="367" customFormat="1" ht="34.95" customHeight="1">
      <c r="B64" s="1603" t="s">
        <v>53</v>
      </c>
      <c r="C64" s="1595">
        <f>+C41</f>
        <v>2019</v>
      </c>
      <c r="D64" s="1579"/>
      <c r="E64" s="1580"/>
      <c r="F64" s="1595">
        <f>1+C64</f>
        <v>2020</v>
      </c>
      <c r="G64" s="1579"/>
      <c r="H64" s="1579"/>
      <c r="I64" s="1579"/>
      <c r="J64" s="1579"/>
      <c r="K64" s="1579"/>
      <c r="L64" s="1579"/>
      <c r="M64" s="1579"/>
      <c r="N64" s="1579"/>
      <c r="O64" s="1579"/>
      <c r="P64" s="1579"/>
      <c r="Q64" s="1580"/>
      <c r="R64" s="1595">
        <f>1+F64</f>
        <v>2021</v>
      </c>
      <c r="S64" s="1579"/>
      <c r="T64" s="1579"/>
      <c r="U64" s="1579"/>
      <c r="V64" s="1579"/>
      <c r="W64" s="1579"/>
      <c r="X64" s="1579"/>
      <c r="Y64" s="1579"/>
      <c r="Z64" s="1579"/>
      <c r="AA64" s="1579"/>
      <c r="AB64" s="1579"/>
      <c r="AC64" s="1580"/>
      <c r="AD64" s="1595">
        <f>1+R64</f>
        <v>2022</v>
      </c>
      <c r="AE64" s="1579"/>
      <c r="AF64" s="1579"/>
      <c r="AG64" s="1579"/>
      <c r="AH64" s="1579"/>
      <c r="AI64" s="1579"/>
      <c r="AJ64" s="1579"/>
      <c r="AK64" s="1579"/>
      <c r="AL64" s="1579"/>
      <c r="AM64" s="1579"/>
      <c r="AN64" s="1579"/>
      <c r="AO64" s="1580"/>
      <c r="AP64" s="1595">
        <f>1+AD64</f>
        <v>2023</v>
      </c>
      <c r="AQ64" s="1579"/>
      <c r="AR64" s="1579"/>
      <c r="AS64" s="1579"/>
      <c r="AT64" s="1579"/>
      <c r="AU64" s="1579"/>
      <c r="AV64" s="1579"/>
      <c r="AW64" s="1579"/>
      <c r="AX64" s="1579"/>
      <c r="AY64" s="1579"/>
      <c r="AZ64" s="1579"/>
      <c r="BA64" s="1580"/>
      <c r="BB64" s="1595">
        <f>1+AP64</f>
        <v>2024</v>
      </c>
      <c r="BC64" s="1579"/>
      <c r="BD64" s="1579"/>
      <c r="BE64" s="1579"/>
      <c r="BF64" s="1579"/>
      <c r="BG64" s="1579"/>
      <c r="BH64" s="1579"/>
      <c r="BI64" s="1579"/>
      <c r="BJ64" s="1579"/>
      <c r="BK64" s="1579"/>
      <c r="BL64" s="1579"/>
      <c r="BM64" s="1580"/>
    </row>
    <row r="65" spans="2:65" s="367" customFormat="1" ht="16.2" thickBot="1">
      <c r="B65" s="1604"/>
      <c r="C65" s="1596"/>
      <c r="D65" s="1581"/>
      <c r="E65" s="1582"/>
      <c r="F65" s="1596"/>
      <c r="G65" s="1581"/>
      <c r="H65" s="1581"/>
      <c r="I65" s="1581"/>
      <c r="J65" s="1581"/>
      <c r="K65" s="1581"/>
      <c r="L65" s="1581"/>
      <c r="M65" s="1581"/>
      <c r="N65" s="1581"/>
      <c r="O65" s="1581"/>
      <c r="P65" s="1581"/>
      <c r="Q65" s="1582"/>
      <c r="R65" s="1596"/>
      <c r="S65" s="1581"/>
      <c r="T65" s="1581"/>
      <c r="U65" s="1581"/>
      <c r="V65" s="1581"/>
      <c r="W65" s="1581"/>
      <c r="X65" s="1581"/>
      <c r="Y65" s="1581"/>
      <c r="Z65" s="1581"/>
      <c r="AA65" s="1581"/>
      <c r="AB65" s="1581"/>
      <c r="AC65" s="1582"/>
      <c r="AD65" s="1596"/>
      <c r="AE65" s="1581"/>
      <c r="AF65" s="1581"/>
      <c r="AG65" s="1581"/>
      <c r="AH65" s="1581"/>
      <c r="AI65" s="1581"/>
      <c r="AJ65" s="1581"/>
      <c r="AK65" s="1581"/>
      <c r="AL65" s="1581"/>
      <c r="AM65" s="1581"/>
      <c r="AN65" s="1581"/>
      <c r="AO65" s="1582"/>
      <c r="AP65" s="1596"/>
      <c r="AQ65" s="1581"/>
      <c r="AR65" s="1581"/>
      <c r="AS65" s="1581"/>
      <c r="AT65" s="1581"/>
      <c r="AU65" s="1581"/>
      <c r="AV65" s="1581"/>
      <c r="AW65" s="1581"/>
      <c r="AX65" s="1581"/>
      <c r="AY65" s="1581"/>
      <c r="AZ65" s="1581"/>
      <c r="BA65" s="1582"/>
      <c r="BB65" s="1596"/>
      <c r="BC65" s="1581"/>
      <c r="BD65" s="1581"/>
      <c r="BE65" s="1581"/>
      <c r="BF65" s="1581"/>
      <c r="BG65" s="1581"/>
      <c r="BH65" s="1581"/>
      <c r="BI65" s="1581"/>
      <c r="BJ65" s="1581"/>
      <c r="BK65" s="1581"/>
      <c r="BL65" s="1581"/>
      <c r="BM65" s="1582"/>
    </row>
    <row r="66" spans="2:65" s="367" customFormat="1" ht="16.2" thickBot="1">
      <c r="B66" s="1605"/>
      <c r="C66" s="523" t="s">
        <v>195</v>
      </c>
      <c r="D66" s="275" t="s">
        <v>196</v>
      </c>
      <c r="E66" s="524" t="s">
        <v>197</v>
      </c>
      <c r="F66" s="523" t="s">
        <v>187</v>
      </c>
      <c r="G66" s="275" t="s">
        <v>188</v>
      </c>
      <c r="H66" s="275" t="s">
        <v>189</v>
      </c>
      <c r="I66" s="275" t="s">
        <v>190</v>
      </c>
      <c r="J66" s="275" t="s">
        <v>8</v>
      </c>
      <c r="K66" s="275" t="s">
        <v>191</v>
      </c>
      <c r="L66" s="275" t="s">
        <v>192</v>
      </c>
      <c r="M66" s="275" t="s">
        <v>193</v>
      </c>
      <c r="N66" s="275" t="s">
        <v>194</v>
      </c>
      <c r="O66" s="275" t="s">
        <v>195</v>
      </c>
      <c r="P66" s="275" t="s">
        <v>196</v>
      </c>
      <c r="Q66" s="524" t="s">
        <v>197</v>
      </c>
      <c r="R66" s="523" t="s">
        <v>187</v>
      </c>
      <c r="S66" s="275" t="s">
        <v>188</v>
      </c>
      <c r="T66" s="275" t="s">
        <v>189</v>
      </c>
      <c r="U66" s="275" t="s">
        <v>190</v>
      </c>
      <c r="V66" s="275" t="s">
        <v>8</v>
      </c>
      <c r="W66" s="275" t="s">
        <v>191</v>
      </c>
      <c r="X66" s="275" t="s">
        <v>192</v>
      </c>
      <c r="Y66" s="275" t="s">
        <v>193</v>
      </c>
      <c r="Z66" s="275" t="s">
        <v>194</v>
      </c>
      <c r="AA66" s="275" t="s">
        <v>195</v>
      </c>
      <c r="AB66" s="275" t="s">
        <v>196</v>
      </c>
      <c r="AC66" s="524" t="s">
        <v>197</v>
      </c>
      <c r="AD66" s="523" t="s">
        <v>187</v>
      </c>
      <c r="AE66" s="275" t="s">
        <v>188</v>
      </c>
      <c r="AF66" s="275" t="s">
        <v>189</v>
      </c>
      <c r="AG66" s="275" t="s">
        <v>190</v>
      </c>
      <c r="AH66" s="275" t="s">
        <v>8</v>
      </c>
      <c r="AI66" s="275" t="s">
        <v>191</v>
      </c>
      <c r="AJ66" s="275" t="s">
        <v>192</v>
      </c>
      <c r="AK66" s="275" t="s">
        <v>193</v>
      </c>
      <c r="AL66" s="275" t="s">
        <v>194</v>
      </c>
      <c r="AM66" s="275" t="s">
        <v>195</v>
      </c>
      <c r="AN66" s="275" t="s">
        <v>196</v>
      </c>
      <c r="AO66" s="524" t="s">
        <v>197</v>
      </c>
      <c r="AP66" s="523" t="s">
        <v>187</v>
      </c>
      <c r="AQ66" s="275" t="s">
        <v>188</v>
      </c>
      <c r="AR66" s="275" t="s">
        <v>189</v>
      </c>
      <c r="AS66" s="275" t="s">
        <v>190</v>
      </c>
      <c r="AT66" s="275" t="s">
        <v>8</v>
      </c>
      <c r="AU66" s="275" t="s">
        <v>191</v>
      </c>
      <c r="AV66" s="275" t="s">
        <v>192</v>
      </c>
      <c r="AW66" s="275" t="s">
        <v>193</v>
      </c>
      <c r="AX66" s="275" t="s">
        <v>194</v>
      </c>
      <c r="AY66" s="275" t="s">
        <v>195</v>
      </c>
      <c r="AZ66" s="275" t="s">
        <v>196</v>
      </c>
      <c r="BA66" s="524" t="s">
        <v>197</v>
      </c>
      <c r="BB66" s="523" t="s">
        <v>187</v>
      </c>
      <c r="BC66" s="275" t="s">
        <v>188</v>
      </c>
      <c r="BD66" s="275" t="s">
        <v>189</v>
      </c>
      <c r="BE66" s="275" t="s">
        <v>190</v>
      </c>
      <c r="BF66" s="275" t="s">
        <v>8</v>
      </c>
      <c r="BG66" s="275" t="s">
        <v>191</v>
      </c>
      <c r="BH66" s="275" t="s">
        <v>192</v>
      </c>
      <c r="BI66" s="275" t="s">
        <v>193</v>
      </c>
      <c r="BJ66" s="275" t="s">
        <v>194</v>
      </c>
      <c r="BK66" s="275" t="s">
        <v>195</v>
      </c>
      <c r="BL66" s="275" t="s">
        <v>196</v>
      </c>
      <c r="BM66" s="524" t="s">
        <v>197</v>
      </c>
    </row>
    <row r="67" spans="1:66" s="115" customFormat="1" ht="15.75">
      <c r="A67" s="1610" t="s">
        <v>301</v>
      </c>
      <c r="B67" s="116" t="s">
        <v>237</v>
      </c>
      <c r="C67" s="1407"/>
      <c r="D67" s="1408"/>
      <c r="E67" s="1408"/>
      <c r="F67" s="114">
        <f>+IF(E69&lt;$D$21,$D$16,0)</f>
        <v>0</v>
      </c>
      <c r="G67" s="115">
        <f aca="true" t="shared" si="22" ref="G67:Q67">+IF(F69&lt;$D$21,$D$16,0)</f>
        <v>0</v>
      </c>
      <c r="H67" s="115">
        <f t="shared" si="22"/>
        <v>0</v>
      </c>
      <c r="I67" s="115">
        <f t="shared" si="22"/>
        <v>0</v>
      </c>
      <c r="J67" s="115">
        <f t="shared" si="22"/>
        <v>0</v>
      </c>
      <c r="K67" s="115">
        <f t="shared" si="22"/>
        <v>0</v>
      </c>
      <c r="L67" s="531">
        <f t="shared" si="22"/>
        <v>0</v>
      </c>
      <c r="M67" s="531">
        <f t="shared" si="22"/>
        <v>0</v>
      </c>
      <c r="N67" s="531">
        <f t="shared" si="22"/>
        <v>0</v>
      </c>
      <c r="O67" s="531">
        <f t="shared" si="22"/>
        <v>0</v>
      </c>
      <c r="P67" s="531">
        <f t="shared" si="22"/>
        <v>0</v>
      </c>
      <c r="Q67" s="530">
        <f t="shared" si="22"/>
        <v>0</v>
      </c>
      <c r="R67" s="114">
        <f>+IF(Q69&lt;$E$21,$E$16,0)*0</f>
        <v>0</v>
      </c>
      <c r="S67" s="115">
        <f>+IF(R69&lt;$E$21,$E$16,0)*0</f>
        <v>0</v>
      </c>
      <c r="T67" s="115">
        <f>+IF(S69&lt;$E$21,$E$16,0)</f>
        <v>0</v>
      </c>
      <c r="U67" s="115">
        <f aca="true" t="shared" si="23" ref="U67:AC67">+IF(T69&lt;$E$21,$E$16,0)</f>
        <v>0</v>
      </c>
      <c r="V67" s="115">
        <f t="shared" si="23"/>
        <v>0</v>
      </c>
      <c r="W67" s="115">
        <f t="shared" si="23"/>
        <v>0</v>
      </c>
      <c r="X67" s="531">
        <f t="shared" si="23"/>
        <v>0</v>
      </c>
      <c r="Y67" s="531">
        <f t="shared" si="23"/>
        <v>0</v>
      </c>
      <c r="Z67" s="531">
        <f t="shared" si="23"/>
        <v>0</v>
      </c>
      <c r="AA67" s="531">
        <f t="shared" si="23"/>
        <v>0</v>
      </c>
      <c r="AB67" s="531">
        <f t="shared" si="23"/>
        <v>0</v>
      </c>
      <c r="AC67" s="530">
        <f t="shared" si="23"/>
        <v>0</v>
      </c>
      <c r="AD67" s="114">
        <f aca="true" t="shared" si="24" ref="AD67:AO67">+IF(AC69&lt;$F$21,$F$16,0)</f>
        <v>0</v>
      </c>
      <c r="AE67" s="115">
        <f t="shared" si="24"/>
        <v>0</v>
      </c>
      <c r="AF67" s="115">
        <f t="shared" si="24"/>
        <v>0</v>
      </c>
      <c r="AG67" s="115">
        <f t="shared" si="24"/>
        <v>0</v>
      </c>
      <c r="AH67" s="115">
        <f t="shared" si="24"/>
        <v>0</v>
      </c>
      <c r="AI67" s="115">
        <f t="shared" si="24"/>
        <v>0</v>
      </c>
      <c r="AJ67" s="531">
        <f t="shared" si="24"/>
        <v>0</v>
      </c>
      <c r="AK67" s="531">
        <f t="shared" si="24"/>
        <v>0</v>
      </c>
      <c r="AL67" s="531">
        <f t="shared" si="24"/>
        <v>0</v>
      </c>
      <c r="AM67" s="531">
        <f t="shared" si="24"/>
        <v>0</v>
      </c>
      <c r="AN67" s="531">
        <f t="shared" si="24"/>
        <v>0</v>
      </c>
      <c r="AO67" s="530">
        <f t="shared" si="24"/>
        <v>0</v>
      </c>
      <c r="AP67" s="114">
        <f aca="true" t="shared" si="25" ref="AP67:BA67">+IF(AO69&lt;$G$21,$G$16,0)</f>
        <v>0</v>
      </c>
      <c r="AQ67" s="115">
        <f t="shared" si="25"/>
        <v>0</v>
      </c>
      <c r="AR67" s="115">
        <f t="shared" si="25"/>
        <v>0</v>
      </c>
      <c r="AS67" s="115">
        <f t="shared" si="25"/>
        <v>0</v>
      </c>
      <c r="AT67" s="115">
        <f t="shared" si="25"/>
        <v>0</v>
      </c>
      <c r="AU67" s="115">
        <f t="shared" si="25"/>
        <v>0</v>
      </c>
      <c r="AV67" s="531">
        <f t="shared" si="25"/>
        <v>0</v>
      </c>
      <c r="AW67" s="531">
        <f t="shared" si="25"/>
        <v>0</v>
      </c>
      <c r="AX67" s="531">
        <f t="shared" si="25"/>
        <v>0</v>
      </c>
      <c r="AY67" s="531">
        <f t="shared" si="25"/>
        <v>0</v>
      </c>
      <c r="AZ67" s="531">
        <f t="shared" si="25"/>
        <v>0</v>
      </c>
      <c r="BA67" s="530">
        <f t="shared" si="25"/>
        <v>0</v>
      </c>
      <c r="BB67" s="114">
        <f aca="true" t="shared" si="26" ref="BB67:BM67">+IF(BA69&lt;$H$21,$H$16,0)</f>
        <v>0</v>
      </c>
      <c r="BC67" s="115">
        <f t="shared" si="26"/>
        <v>0</v>
      </c>
      <c r="BD67" s="115">
        <f t="shared" si="26"/>
        <v>0</v>
      </c>
      <c r="BE67" s="115">
        <f t="shared" si="26"/>
        <v>0</v>
      </c>
      <c r="BF67" s="115">
        <f t="shared" si="26"/>
        <v>0</v>
      </c>
      <c r="BG67" s="115">
        <f t="shared" si="26"/>
        <v>0</v>
      </c>
      <c r="BH67" s="531">
        <f t="shared" si="26"/>
        <v>0</v>
      </c>
      <c r="BI67" s="531">
        <f t="shared" si="26"/>
        <v>0</v>
      </c>
      <c r="BJ67" s="531">
        <f t="shared" si="26"/>
        <v>0</v>
      </c>
      <c r="BK67" s="531">
        <f t="shared" si="26"/>
        <v>0</v>
      </c>
      <c r="BL67" s="531">
        <f t="shared" si="26"/>
        <v>0</v>
      </c>
      <c r="BM67" s="530">
        <f t="shared" si="26"/>
        <v>0</v>
      </c>
      <c r="BN67" s="531"/>
    </row>
    <row r="68" spans="1:65" s="115" customFormat="1" ht="15.75">
      <c r="A68" s="1611"/>
      <c r="B68" s="116" t="s">
        <v>238</v>
      </c>
      <c r="C68" s="114"/>
      <c r="D68" s="1408"/>
      <c r="E68" s="1408"/>
      <c r="F68" s="114"/>
      <c r="L68" s="531"/>
      <c r="M68" s="531"/>
      <c r="N68" s="531"/>
      <c r="O68" s="531"/>
      <c r="P68" s="531"/>
      <c r="Q68" s="530"/>
      <c r="R68" s="114"/>
      <c r="AD68" s="114"/>
      <c r="AJ68" s="531"/>
      <c r="AK68" s="531"/>
      <c r="AL68" s="531"/>
      <c r="AM68" s="531"/>
      <c r="AN68" s="531"/>
      <c r="AO68" s="530"/>
      <c r="AP68" s="114"/>
      <c r="AV68" s="531"/>
      <c r="AW68" s="531"/>
      <c r="AX68" s="531"/>
      <c r="AY68" s="531"/>
      <c r="AZ68" s="531"/>
      <c r="BA68" s="530"/>
      <c r="BB68" s="114"/>
      <c r="BH68" s="531"/>
      <c r="BI68" s="531"/>
      <c r="BJ68" s="531"/>
      <c r="BK68" s="531"/>
      <c r="BL68" s="531"/>
      <c r="BM68" s="530"/>
    </row>
    <row r="69" spans="1:65" s="120" customFormat="1" ht="16.2" thickBot="1">
      <c r="A69" s="1612"/>
      <c r="B69" s="117" t="s">
        <v>239</v>
      </c>
      <c r="C69" s="118"/>
      <c r="D69" s="119"/>
      <c r="E69" s="119"/>
      <c r="F69" s="118">
        <f aca="true" t="shared" si="27" ref="F69">+F67-F68+E69</f>
        <v>0</v>
      </c>
      <c r="G69" s="119">
        <f>+G67-G68+F69</f>
        <v>0</v>
      </c>
      <c r="H69" s="119">
        <f aca="true" t="shared" si="28" ref="H69:V69">+H67-H68+G69</f>
        <v>0</v>
      </c>
      <c r="I69" s="119">
        <f t="shared" si="28"/>
        <v>0</v>
      </c>
      <c r="J69" s="119">
        <f t="shared" si="28"/>
        <v>0</v>
      </c>
      <c r="K69" s="119">
        <f t="shared" si="28"/>
        <v>0</v>
      </c>
      <c r="L69" s="534">
        <f t="shared" si="28"/>
        <v>0</v>
      </c>
      <c r="M69" s="534">
        <f t="shared" si="28"/>
        <v>0</v>
      </c>
      <c r="N69" s="534">
        <f t="shared" si="28"/>
        <v>0</v>
      </c>
      <c r="O69" s="534">
        <f t="shared" si="28"/>
        <v>0</v>
      </c>
      <c r="P69" s="534">
        <f t="shared" si="28"/>
        <v>0</v>
      </c>
      <c r="Q69" s="535">
        <f t="shared" si="28"/>
        <v>0</v>
      </c>
      <c r="R69" s="118">
        <f t="shared" si="28"/>
        <v>0</v>
      </c>
      <c r="S69" s="119">
        <f t="shared" si="28"/>
        <v>0</v>
      </c>
      <c r="T69" s="119">
        <f t="shared" si="28"/>
        <v>0</v>
      </c>
      <c r="U69" s="119">
        <f t="shared" si="28"/>
        <v>0</v>
      </c>
      <c r="V69" s="119">
        <f t="shared" si="28"/>
        <v>0</v>
      </c>
      <c r="W69" s="119">
        <f>+W67-W68+V69</f>
        <v>0</v>
      </c>
      <c r="X69" s="534">
        <f aca="true" t="shared" si="29" ref="X69:BD69">+X67-X68+W69</f>
        <v>0</v>
      </c>
      <c r="Y69" s="534">
        <f t="shared" si="29"/>
        <v>0</v>
      </c>
      <c r="Z69" s="534">
        <f t="shared" si="29"/>
        <v>0</v>
      </c>
      <c r="AA69" s="534">
        <f t="shared" si="29"/>
        <v>0</v>
      </c>
      <c r="AB69" s="534">
        <f t="shared" si="29"/>
        <v>0</v>
      </c>
      <c r="AC69" s="535">
        <f t="shared" si="29"/>
        <v>0</v>
      </c>
      <c r="AD69" s="118">
        <f t="shared" si="29"/>
        <v>0</v>
      </c>
      <c r="AE69" s="119">
        <f t="shared" si="29"/>
        <v>0</v>
      </c>
      <c r="AF69" s="119">
        <f t="shared" si="29"/>
        <v>0</v>
      </c>
      <c r="AG69" s="119">
        <f t="shared" si="29"/>
        <v>0</v>
      </c>
      <c r="AH69" s="119">
        <f t="shared" si="29"/>
        <v>0</v>
      </c>
      <c r="AI69" s="119">
        <f t="shared" si="29"/>
        <v>0</v>
      </c>
      <c r="AJ69" s="534">
        <f t="shared" si="29"/>
        <v>0</v>
      </c>
      <c r="AK69" s="534">
        <f t="shared" si="29"/>
        <v>0</v>
      </c>
      <c r="AL69" s="534">
        <f t="shared" si="29"/>
        <v>0</v>
      </c>
      <c r="AM69" s="534">
        <f t="shared" si="29"/>
        <v>0</v>
      </c>
      <c r="AN69" s="534">
        <f t="shared" si="29"/>
        <v>0</v>
      </c>
      <c r="AO69" s="535">
        <f t="shared" si="29"/>
        <v>0</v>
      </c>
      <c r="AP69" s="118">
        <f t="shared" si="29"/>
        <v>0</v>
      </c>
      <c r="AQ69" s="119">
        <f t="shared" si="29"/>
        <v>0</v>
      </c>
      <c r="AR69" s="119">
        <f t="shared" si="29"/>
        <v>0</v>
      </c>
      <c r="AS69" s="119">
        <f t="shared" si="29"/>
        <v>0</v>
      </c>
      <c r="AT69" s="119">
        <f t="shared" si="29"/>
        <v>0</v>
      </c>
      <c r="AU69" s="119">
        <f t="shared" si="29"/>
        <v>0</v>
      </c>
      <c r="AV69" s="534">
        <f t="shared" si="29"/>
        <v>0</v>
      </c>
      <c r="AW69" s="534">
        <f t="shared" si="29"/>
        <v>0</v>
      </c>
      <c r="AX69" s="534">
        <f t="shared" si="29"/>
        <v>0</v>
      </c>
      <c r="AY69" s="534">
        <f t="shared" si="29"/>
        <v>0</v>
      </c>
      <c r="AZ69" s="534">
        <f t="shared" si="29"/>
        <v>0</v>
      </c>
      <c r="BA69" s="535">
        <f t="shared" si="29"/>
        <v>0</v>
      </c>
      <c r="BB69" s="118">
        <f t="shared" si="29"/>
        <v>0</v>
      </c>
      <c r="BC69" s="119">
        <f t="shared" si="29"/>
        <v>0</v>
      </c>
      <c r="BD69" s="119">
        <f t="shared" si="29"/>
        <v>0</v>
      </c>
      <c r="BE69" s="119">
        <f>+BE67-BE68+BD69</f>
        <v>0</v>
      </c>
      <c r="BF69" s="119">
        <f aca="true" t="shared" si="30" ref="BF69:BJ69">+BF67-BF68+BE69</f>
        <v>0</v>
      </c>
      <c r="BG69" s="119">
        <f t="shared" si="30"/>
        <v>0</v>
      </c>
      <c r="BH69" s="534">
        <f t="shared" si="30"/>
        <v>0</v>
      </c>
      <c r="BI69" s="534">
        <f t="shared" si="30"/>
        <v>0</v>
      </c>
      <c r="BJ69" s="534">
        <f t="shared" si="30"/>
        <v>0</v>
      </c>
      <c r="BK69" s="534">
        <f>+BK67-BK68+BJ69</f>
        <v>0</v>
      </c>
      <c r="BL69" s="534">
        <f aca="true" t="shared" si="31" ref="BL69">+BL67-BL68+BK69</f>
        <v>0</v>
      </c>
      <c r="BM69" s="535">
        <f>+BM67-BM68+BL69</f>
        <v>0</v>
      </c>
    </row>
    <row r="70" spans="1:65" s="115" customFormat="1" ht="15.75">
      <c r="A70" s="1610" t="s">
        <v>302</v>
      </c>
      <c r="B70" s="116" t="s">
        <v>237</v>
      </c>
      <c r="C70" s="1407"/>
      <c r="D70" s="1408"/>
      <c r="E70" s="1408"/>
      <c r="F70" s="114">
        <f aca="true" t="shared" si="32" ref="F70:Q70">+IF(E72&lt;$D$22,$D$17,0)</f>
        <v>0</v>
      </c>
      <c r="G70" s="115">
        <f t="shared" si="32"/>
        <v>0</v>
      </c>
      <c r="H70" s="115">
        <f t="shared" si="32"/>
        <v>0</v>
      </c>
      <c r="I70" s="115">
        <f t="shared" si="32"/>
        <v>0</v>
      </c>
      <c r="J70" s="115">
        <f t="shared" si="32"/>
        <v>0</v>
      </c>
      <c r="K70" s="115">
        <f t="shared" si="32"/>
        <v>0</v>
      </c>
      <c r="L70" s="531">
        <f t="shared" si="32"/>
        <v>0</v>
      </c>
      <c r="M70" s="531">
        <f t="shared" si="32"/>
        <v>0</v>
      </c>
      <c r="N70" s="531">
        <f t="shared" si="32"/>
        <v>0</v>
      </c>
      <c r="O70" s="531">
        <f t="shared" si="32"/>
        <v>0</v>
      </c>
      <c r="P70" s="531">
        <f t="shared" si="32"/>
        <v>0</v>
      </c>
      <c r="Q70" s="530">
        <f t="shared" si="32"/>
        <v>0</v>
      </c>
      <c r="R70" s="114">
        <f>+IF(Q72&lt;$E$22,$E$17,0)*0</f>
        <v>0</v>
      </c>
      <c r="S70" s="115">
        <f aca="true" t="shared" si="33" ref="S70:BL70">+IF(R72&lt;$E$22,$E$17,0)*0</f>
        <v>0</v>
      </c>
      <c r="T70" s="115">
        <f t="shared" si="33"/>
        <v>0</v>
      </c>
      <c r="U70" s="115">
        <f t="shared" si="33"/>
        <v>0</v>
      </c>
      <c r="V70" s="115">
        <f t="shared" si="33"/>
        <v>0</v>
      </c>
      <c r="W70" s="115">
        <f t="shared" si="33"/>
        <v>0</v>
      </c>
      <c r="X70" s="531">
        <f t="shared" si="33"/>
        <v>0</v>
      </c>
      <c r="Y70" s="531">
        <f t="shared" si="33"/>
        <v>0</v>
      </c>
      <c r="Z70" s="531">
        <f t="shared" si="33"/>
        <v>0</v>
      </c>
      <c r="AA70" s="531">
        <f t="shared" si="33"/>
        <v>0</v>
      </c>
      <c r="AB70" s="531">
        <f t="shared" si="33"/>
        <v>0</v>
      </c>
      <c r="AC70" s="530">
        <f>+IF(AB72&lt;=$E$22,$E$17,0)</f>
        <v>0</v>
      </c>
      <c r="AD70" s="114">
        <f t="shared" si="33"/>
        <v>0</v>
      </c>
      <c r="AE70" s="115">
        <f t="shared" si="33"/>
        <v>0</v>
      </c>
      <c r="AF70" s="115">
        <f t="shared" si="33"/>
        <v>0</v>
      </c>
      <c r="AG70" s="115">
        <f t="shared" si="33"/>
        <v>0</v>
      </c>
      <c r="AH70" s="115">
        <f t="shared" si="33"/>
        <v>0</v>
      </c>
      <c r="AI70" s="115">
        <f t="shared" si="33"/>
        <v>0</v>
      </c>
      <c r="AJ70" s="531">
        <f t="shared" si="33"/>
        <v>0</v>
      </c>
      <c r="AK70" s="531">
        <f t="shared" si="33"/>
        <v>0</v>
      </c>
      <c r="AL70" s="531">
        <f t="shared" si="33"/>
        <v>0</v>
      </c>
      <c r="AM70" s="531">
        <f t="shared" si="33"/>
        <v>0</v>
      </c>
      <c r="AN70" s="531">
        <f t="shared" si="33"/>
        <v>0</v>
      </c>
      <c r="AO70" s="530">
        <f>+IF(AN72&lt;=$F$22,$F$17,0)</f>
        <v>0</v>
      </c>
      <c r="AP70" s="114">
        <f t="shared" si="33"/>
        <v>0</v>
      </c>
      <c r="AQ70" s="115">
        <f t="shared" si="33"/>
        <v>0</v>
      </c>
      <c r="AR70" s="115">
        <f t="shared" si="33"/>
        <v>0</v>
      </c>
      <c r="AS70" s="115">
        <f t="shared" si="33"/>
        <v>0</v>
      </c>
      <c r="AT70" s="115">
        <f t="shared" si="33"/>
        <v>0</v>
      </c>
      <c r="AU70" s="115">
        <f t="shared" si="33"/>
        <v>0</v>
      </c>
      <c r="AV70" s="531">
        <f t="shared" si="33"/>
        <v>0</v>
      </c>
      <c r="AW70" s="531">
        <f t="shared" si="33"/>
        <v>0</v>
      </c>
      <c r="AX70" s="531">
        <f t="shared" si="33"/>
        <v>0</v>
      </c>
      <c r="AY70" s="531">
        <f t="shared" si="33"/>
        <v>0</v>
      </c>
      <c r="AZ70" s="531">
        <f t="shared" si="33"/>
        <v>0</v>
      </c>
      <c r="BA70" s="530">
        <f>+IF(AZ72&lt;=$G$22,$G$17,0)</f>
        <v>0</v>
      </c>
      <c r="BB70" s="114">
        <f t="shared" si="33"/>
        <v>0</v>
      </c>
      <c r="BC70" s="115">
        <f t="shared" si="33"/>
        <v>0</v>
      </c>
      <c r="BD70" s="115">
        <f t="shared" si="33"/>
        <v>0</v>
      </c>
      <c r="BE70" s="115">
        <f t="shared" si="33"/>
        <v>0</v>
      </c>
      <c r="BF70" s="115">
        <f t="shared" si="33"/>
        <v>0</v>
      </c>
      <c r="BG70" s="115">
        <f t="shared" si="33"/>
        <v>0</v>
      </c>
      <c r="BH70" s="531">
        <f t="shared" si="33"/>
        <v>0</v>
      </c>
      <c r="BI70" s="531">
        <f t="shared" si="33"/>
        <v>0</v>
      </c>
      <c r="BJ70" s="531">
        <f t="shared" si="33"/>
        <v>0</v>
      </c>
      <c r="BK70" s="531">
        <f t="shared" si="33"/>
        <v>0</v>
      </c>
      <c r="BL70" s="531">
        <f t="shared" si="33"/>
        <v>0</v>
      </c>
      <c r="BM70" s="530">
        <f>+IF(BL72&lt;=$H$22,$H$17,0)</f>
        <v>0</v>
      </c>
    </row>
    <row r="71" spans="1:65" s="115" customFormat="1" ht="15.75">
      <c r="A71" s="1611"/>
      <c r="B71" s="116" t="s">
        <v>238</v>
      </c>
      <c r="C71" s="114"/>
      <c r="D71" s="1408"/>
      <c r="E71" s="1408"/>
      <c r="F71" s="114"/>
      <c r="L71" s="531"/>
      <c r="M71" s="531"/>
      <c r="N71" s="531"/>
      <c r="O71" s="531"/>
      <c r="P71" s="531"/>
      <c r="Q71" s="530"/>
      <c r="R71" s="114"/>
      <c r="X71" s="531"/>
      <c r="Y71" s="531"/>
      <c r="Z71" s="531"/>
      <c r="AA71" s="531"/>
      <c r="AB71" s="531"/>
      <c r="AC71" s="530"/>
      <c r="AD71" s="114"/>
      <c r="AJ71" s="531"/>
      <c r="AK71" s="531"/>
      <c r="AL71" s="531"/>
      <c r="AM71" s="531"/>
      <c r="AN71" s="531"/>
      <c r="AO71" s="530"/>
      <c r="AP71" s="114"/>
      <c r="AV71" s="531"/>
      <c r="AW71" s="531"/>
      <c r="AX71" s="531"/>
      <c r="AY71" s="531"/>
      <c r="AZ71" s="531"/>
      <c r="BA71" s="530"/>
      <c r="BB71" s="114"/>
      <c r="BH71" s="531"/>
      <c r="BI71" s="531"/>
      <c r="BJ71" s="531"/>
      <c r="BK71" s="531"/>
      <c r="BL71" s="531"/>
      <c r="BM71" s="530"/>
    </row>
    <row r="72" spans="1:70" s="120" customFormat="1" ht="16.2" thickBot="1">
      <c r="A72" s="1612"/>
      <c r="B72" s="117" t="s">
        <v>239</v>
      </c>
      <c r="C72" s="118"/>
      <c r="D72" s="119"/>
      <c r="E72" s="119"/>
      <c r="F72" s="118">
        <f aca="true" t="shared" si="34" ref="F72">+F70-F71+E72</f>
        <v>0</v>
      </c>
      <c r="G72" s="119">
        <f aca="true" t="shared" si="35" ref="G72:BM72">+G70-G71+F72</f>
        <v>0</v>
      </c>
      <c r="H72" s="119">
        <f t="shared" si="35"/>
        <v>0</v>
      </c>
      <c r="I72" s="119">
        <f t="shared" si="35"/>
        <v>0</v>
      </c>
      <c r="J72" s="119">
        <f t="shared" si="35"/>
        <v>0</v>
      </c>
      <c r="K72" s="119">
        <f t="shared" si="35"/>
        <v>0</v>
      </c>
      <c r="L72" s="534">
        <f t="shared" si="35"/>
        <v>0</v>
      </c>
      <c r="M72" s="534">
        <f t="shared" si="35"/>
        <v>0</v>
      </c>
      <c r="N72" s="534">
        <f t="shared" si="35"/>
        <v>0</v>
      </c>
      <c r="O72" s="534">
        <f t="shared" si="35"/>
        <v>0</v>
      </c>
      <c r="P72" s="534">
        <f t="shared" si="35"/>
        <v>0</v>
      </c>
      <c r="Q72" s="535">
        <f t="shared" si="35"/>
        <v>0</v>
      </c>
      <c r="R72" s="118">
        <f>+R70-R71+Q72</f>
        <v>0</v>
      </c>
      <c r="S72" s="119">
        <f t="shared" si="35"/>
        <v>0</v>
      </c>
      <c r="T72" s="119">
        <f t="shared" si="35"/>
        <v>0</v>
      </c>
      <c r="U72" s="119">
        <f t="shared" si="35"/>
        <v>0</v>
      </c>
      <c r="V72" s="119">
        <f t="shared" si="35"/>
        <v>0</v>
      </c>
      <c r="W72" s="119">
        <f t="shared" si="35"/>
        <v>0</v>
      </c>
      <c r="X72" s="534">
        <f t="shared" si="35"/>
        <v>0</v>
      </c>
      <c r="Y72" s="534">
        <f t="shared" si="35"/>
        <v>0</v>
      </c>
      <c r="Z72" s="534">
        <f t="shared" si="35"/>
        <v>0</v>
      </c>
      <c r="AA72" s="534">
        <f t="shared" si="35"/>
        <v>0</v>
      </c>
      <c r="AB72" s="534">
        <f t="shared" si="35"/>
        <v>0</v>
      </c>
      <c r="AC72" s="535">
        <f>+AC70-AC71+AB72</f>
        <v>0</v>
      </c>
      <c r="AD72" s="118">
        <f>+AD70-AD71+AC72</f>
        <v>0</v>
      </c>
      <c r="AE72" s="119">
        <f t="shared" si="35"/>
        <v>0</v>
      </c>
      <c r="AF72" s="119">
        <f t="shared" si="35"/>
        <v>0</v>
      </c>
      <c r="AG72" s="119">
        <f t="shared" si="35"/>
        <v>0</v>
      </c>
      <c r="AH72" s="119">
        <f t="shared" si="35"/>
        <v>0</v>
      </c>
      <c r="AI72" s="119">
        <f t="shared" si="35"/>
        <v>0</v>
      </c>
      <c r="AJ72" s="534">
        <f t="shared" si="35"/>
        <v>0</v>
      </c>
      <c r="AK72" s="534">
        <f t="shared" si="35"/>
        <v>0</v>
      </c>
      <c r="AL72" s="534">
        <f t="shared" si="35"/>
        <v>0</v>
      </c>
      <c r="AM72" s="534">
        <f t="shared" si="35"/>
        <v>0</v>
      </c>
      <c r="AN72" s="534">
        <f t="shared" si="35"/>
        <v>0</v>
      </c>
      <c r="AO72" s="535">
        <f t="shared" si="35"/>
        <v>0</v>
      </c>
      <c r="AP72" s="118">
        <f t="shared" si="35"/>
        <v>0</v>
      </c>
      <c r="AQ72" s="119">
        <f t="shared" si="35"/>
        <v>0</v>
      </c>
      <c r="AR72" s="119">
        <f t="shared" si="35"/>
        <v>0</v>
      </c>
      <c r="AS72" s="119">
        <f t="shared" si="35"/>
        <v>0</v>
      </c>
      <c r="AT72" s="119">
        <f t="shared" si="35"/>
        <v>0</v>
      </c>
      <c r="AU72" s="119">
        <f t="shared" si="35"/>
        <v>0</v>
      </c>
      <c r="AV72" s="534">
        <f t="shared" si="35"/>
        <v>0</v>
      </c>
      <c r="AW72" s="534">
        <f t="shared" si="35"/>
        <v>0</v>
      </c>
      <c r="AX72" s="534">
        <f t="shared" si="35"/>
        <v>0</v>
      </c>
      <c r="AY72" s="534">
        <f t="shared" si="35"/>
        <v>0</v>
      </c>
      <c r="AZ72" s="534">
        <f t="shared" si="35"/>
        <v>0</v>
      </c>
      <c r="BA72" s="535">
        <f t="shared" si="35"/>
        <v>0</v>
      </c>
      <c r="BB72" s="118">
        <f t="shared" si="35"/>
        <v>0</v>
      </c>
      <c r="BC72" s="119">
        <f t="shared" si="35"/>
        <v>0</v>
      </c>
      <c r="BD72" s="119">
        <f t="shared" si="35"/>
        <v>0</v>
      </c>
      <c r="BE72" s="119">
        <f t="shared" si="35"/>
        <v>0</v>
      </c>
      <c r="BF72" s="119">
        <f t="shared" si="35"/>
        <v>0</v>
      </c>
      <c r="BG72" s="119">
        <f t="shared" si="35"/>
        <v>0</v>
      </c>
      <c r="BH72" s="534">
        <f t="shared" si="35"/>
        <v>0</v>
      </c>
      <c r="BI72" s="534">
        <f t="shared" si="35"/>
        <v>0</v>
      </c>
      <c r="BJ72" s="534">
        <f t="shared" si="35"/>
        <v>0</v>
      </c>
      <c r="BK72" s="534">
        <f t="shared" si="35"/>
        <v>0</v>
      </c>
      <c r="BL72" s="534">
        <f t="shared" si="35"/>
        <v>0</v>
      </c>
      <c r="BM72" s="535">
        <f t="shared" si="35"/>
        <v>0</v>
      </c>
      <c r="BR72" s="115"/>
    </row>
    <row r="73" spans="1:65" s="115" customFormat="1" ht="15.75">
      <c r="A73" s="1610" t="s">
        <v>241</v>
      </c>
      <c r="B73" s="116" t="s">
        <v>237</v>
      </c>
      <c r="C73" s="1407"/>
      <c r="D73" s="1408"/>
      <c r="E73" s="1408"/>
      <c r="F73" s="114">
        <f aca="true" t="shared" si="36" ref="F73:Q73">+IF(E75&lt;$D$23,$D$18,0)</f>
        <v>0</v>
      </c>
      <c r="G73" s="115">
        <f t="shared" si="36"/>
        <v>0</v>
      </c>
      <c r="H73" s="115">
        <f t="shared" si="36"/>
        <v>0</v>
      </c>
      <c r="I73" s="115">
        <f t="shared" si="36"/>
        <v>0</v>
      </c>
      <c r="J73" s="115">
        <f t="shared" si="36"/>
        <v>0</v>
      </c>
      <c r="K73" s="115">
        <f t="shared" si="36"/>
        <v>0</v>
      </c>
      <c r="L73" s="531">
        <f t="shared" si="36"/>
        <v>0</v>
      </c>
      <c r="M73" s="531">
        <f t="shared" si="36"/>
        <v>0</v>
      </c>
      <c r="N73" s="531">
        <f t="shared" si="36"/>
        <v>0</v>
      </c>
      <c r="O73" s="531">
        <f t="shared" si="36"/>
        <v>0</v>
      </c>
      <c r="P73" s="531">
        <f t="shared" si="36"/>
        <v>0</v>
      </c>
      <c r="Q73" s="530">
        <f t="shared" si="36"/>
        <v>0</v>
      </c>
      <c r="R73" s="114">
        <f aca="true" t="shared" si="37" ref="R73:AC73">+IF(Q75&lt;$E$23,$E$18,0)</f>
        <v>0</v>
      </c>
      <c r="S73" s="115">
        <f t="shared" si="37"/>
        <v>0</v>
      </c>
      <c r="T73" s="115">
        <f t="shared" si="37"/>
        <v>0</v>
      </c>
      <c r="U73" s="115">
        <f t="shared" si="37"/>
        <v>0</v>
      </c>
      <c r="V73" s="115">
        <f t="shared" si="37"/>
        <v>0</v>
      </c>
      <c r="W73" s="115">
        <f t="shared" si="37"/>
        <v>0</v>
      </c>
      <c r="X73" s="531">
        <f t="shared" si="37"/>
        <v>0</v>
      </c>
      <c r="Y73" s="531">
        <f t="shared" si="37"/>
        <v>0</v>
      </c>
      <c r="Z73" s="531">
        <f t="shared" si="37"/>
        <v>0</v>
      </c>
      <c r="AA73" s="531">
        <f t="shared" si="37"/>
        <v>0</v>
      </c>
      <c r="AB73" s="531">
        <f t="shared" si="37"/>
        <v>0</v>
      </c>
      <c r="AC73" s="530">
        <f t="shared" si="37"/>
        <v>0</v>
      </c>
      <c r="AD73" s="114">
        <f aca="true" t="shared" si="38" ref="AD73:AO73">+IF(AC75&lt;$F$23,$F$18,0)</f>
        <v>0</v>
      </c>
      <c r="AE73" s="115">
        <f t="shared" si="38"/>
        <v>0</v>
      </c>
      <c r="AF73" s="115">
        <f t="shared" si="38"/>
        <v>0</v>
      </c>
      <c r="AG73" s="115">
        <f t="shared" si="38"/>
        <v>0</v>
      </c>
      <c r="AH73" s="115">
        <f t="shared" si="38"/>
        <v>0</v>
      </c>
      <c r="AI73" s="115">
        <f t="shared" si="38"/>
        <v>0</v>
      </c>
      <c r="AJ73" s="531">
        <f t="shared" si="38"/>
        <v>0</v>
      </c>
      <c r="AK73" s="531">
        <f t="shared" si="38"/>
        <v>0</v>
      </c>
      <c r="AL73" s="531">
        <f t="shared" si="38"/>
        <v>0</v>
      </c>
      <c r="AM73" s="531">
        <f t="shared" si="38"/>
        <v>0</v>
      </c>
      <c r="AN73" s="531">
        <f t="shared" si="38"/>
        <v>0</v>
      </c>
      <c r="AO73" s="530">
        <f t="shared" si="38"/>
        <v>0</v>
      </c>
      <c r="AP73" s="114">
        <f aca="true" t="shared" si="39" ref="AP73:BA73">+IF(AO75&lt;$G$23,$G$18,0)</f>
        <v>0</v>
      </c>
      <c r="AQ73" s="115">
        <f t="shared" si="39"/>
        <v>0</v>
      </c>
      <c r="AR73" s="115">
        <f t="shared" si="39"/>
        <v>0</v>
      </c>
      <c r="AS73" s="115">
        <f t="shared" si="39"/>
        <v>0</v>
      </c>
      <c r="AT73" s="115">
        <f t="shared" si="39"/>
        <v>0</v>
      </c>
      <c r="AU73" s="115">
        <f t="shared" si="39"/>
        <v>0</v>
      </c>
      <c r="AV73" s="531">
        <f t="shared" si="39"/>
        <v>0</v>
      </c>
      <c r="AW73" s="531">
        <f t="shared" si="39"/>
        <v>0</v>
      </c>
      <c r="AX73" s="531">
        <f t="shared" si="39"/>
        <v>0</v>
      </c>
      <c r="AY73" s="531">
        <f t="shared" si="39"/>
        <v>0</v>
      </c>
      <c r="AZ73" s="531">
        <f t="shared" si="39"/>
        <v>0</v>
      </c>
      <c r="BA73" s="530">
        <f t="shared" si="39"/>
        <v>0</v>
      </c>
      <c r="BB73" s="114">
        <f aca="true" t="shared" si="40" ref="BB73:BM73">+IF(BA75&lt;$H$23,$H$18,0)</f>
        <v>0</v>
      </c>
      <c r="BC73" s="115">
        <f t="shared" si="40"/>
        <v>0</v>
      </c>
      <c r="BD73" s="115">
        <f t="shared" si="40"/>
        <v>0</v>
      </c>
      <c r="BE73" s="115">
        <f t="shared" si="40"/>
        <v>0</v>
      </c>
      <c r="BF73" s="115">
        <f t="shared" si="40"/>
        <v>0</v>
      </c>
      <c r="BG73" s="115">
        <f t="shared" si="40"/>
        <v>0</v>
      </c>
      <c r="BH73" s="531">
        <f t="shared" si="40"/>
        <v>0</v>
      </c>
      <c r="BI73" s="531">
        <f t="shared" si="40"/>
        <v>0</v>
      </c>
      <c r="BJ73" s="531">
        <f t="shared" si="40"/>
        <v>0</v>
      </c>
      <c r="BK73" s="531">
        <f t="shared" si="40"/>
        <v>0</v>
      </c>
      <c r="BL73" s="531">
        <f t="shared" si="40"/>
        <v>0</v>
      </c>
      <c r="BM73" s="530">
        <f t="shared" si="40"/>
        <v>0</v>
      </c>
    </row>
    <row r="74" spans="1:65" s="115" customFormat="1" ht="15.75">
      <c r="A74" s="1611"/>
      <c r="B74" s="116" t="s">
        <v>238</v>
      </c>
      <c r="C74" s="114"/>
      <c r="D74" s="1408"/>
      <c r="E74" s="1408"/>
      <c r="F74" s="114"/>
      <c r="L74" s="531"/>
      <c r="M74" s="531"/>
      <c r="N74" s="531"/>
      <c r="O74" s="531"/>
      <c r="P74" s="531"/>
      <c r="Q74" s="530"/>
      <c r="R74" s="114"/>
      <c r="X74" s="531"/>
      <c r="Y74" s="531"/>
      <c r="Z74" s="531"/>
      <c r="AA74" s="531"/>
      <c r="AB74" s="531"/>
      <c r="AC74" s="530"/>
      <c r="AD74" s="114"/>
      <c r="AJ74" s="531"/>
      <c r="AK74" s="531"/>
      <c r="AL74" s="531"/>
      <c r="AM74" s="531"/>
      <c r="AN74" s="531"/>
      <c r="AO74" s="530"/>
      <c r="AP74" s="114"/>
      <c r="AV74" s="531"/>
      <c r="AW74" s="531"/>
      <c r="AX74" s="531"/>
      <c r="AY74" s="531"/>
      <c r="AZ74" s="531"/>
      <c r="BA74" s="530"/>
      <c r="BB74" s="114"/>
      <c r="BH74" s="531"/>
      <c r="BI74" s="531"/>
      <c r="BJ74" s="531"/>
      <c r="BK74" s="531"/>
      <c r="BL74" s="531"/>
      <c r="BM74" s="530"/>
    </row>
    <row r="75" spans="1:70" s="120" customFormat="1" ht="16.2" thickBot="1">
      <c r="A75" s="1612"/>
      <c r="B75" s="117" t="s">
        <v>239</v>
      </c>
      <c r="C75" s="118"/>
      <c r="D75" s="119"/>
      <c r="E75" s="119"/>
      <c r="F75" s="118">
        <f aca="true" t="shared" si="41" ref="F75">+F73-F74+E75</f>
        <v>0</v>
      </c>
      <c r="G75" s="119">
        <f aca="true" t="shared" si="42" ref="G75:BM75">+G73-G74+F75</f>
        <v>0</v>
      </c>
      <c r="H75" s="119">
        <f t="shared" si="42"/>
        <v>0</v>
      </c>
      <c r="I75" s="119">
        <f t="shared" si="42"/>
        <v>0</v>
      </c>
      <c r="J75" s="119">
        <f t="shared" si="42"/>
        <v>0</v>
      </c>
      <c r="K75" s="119">
        <f t="shared" si="42"/>
        <v>0</v>
      </c>
      <c r="L75" s="534">
        <f t="shared" si="42"/>
        <v>0</v>
      </c>
      <c r="M75" s="534">
        <f t="shared" si="42"/>
        <v>0</v>
      </c>
      <c r="N75" s="534">
        <f t="shared" si="42"/>
        <v>0</v>
      </c>
      <c r="O75" s="534">
        <f t="shared" si="42"/>
        <v>0</v>
      </c>
      <c r="P75" s="534">
        <f t="shared" si="42"/>
        <v>0</v>
      </c>
      <c r="Q75" s="535">
        <f t="shared" si="42"/>
        <v>0</v>
      </c>
      <c r="R75" s="118">
        <f t="shared" si="42"/>
        <v>0</v>
      </c>
      <c r="S75" s="119">
        <f t="shared" si="42"/>
        <v>0</v>
      </c>
      <c r="T75" s="119">
        <f t="shared" si="42"/>
        <v>0</v>
      </c>
      <c r="U75" s="119">
        <f t="shared" si="42"/>
        <v>0</v>
      </c>
      <c r="V75" s="119">
        <f t="shared" si="42"/>
        <v>0</v>
      </c>
      <c r="W75" s="119">
        <f t="shared" si="42"/>
        <v>0</v>
      </c>
      <c r="X75" s="534">
        <f t="shared" si="42"/>
        <v>0</v>
      </c>
      <c r="Y75" s="534">
        <f t="shared" si="42"/>
        <v>0</v>
      </c>
      <c r="Z75" s="534">
        <f t="shared" si="42"/>
        <v>0</v>
      </c>
      <c r="AA75" s="534">
        <f t="shared" si="42"/>
        <v>0</v>
      </c>
      <c r="AB75" s="534">
        <f t="shared" si="42"/>
        <v>0</v>
      </c>
      <c r="AC75" s="535">
        <f t="shared" si="42"/>
        <v>0</v>
      </c>
      <c r="AD75" s="118">
        <f t="shared" si="42"/>
        <v>0</v>
      </c>
      <c r="AE75" s="119">
        <f t="shared" si="42"/>
        <v>0</v>
      </c>
      <c r="AF75" s="119">
        <f t="shared" si="42"/>
        <v>0</v>
      </c>
      <c r="AG75" s="119">
        <f t="shared" si="42"/>
        <v>0</v>
      </c>
      <c r="AH75" s="119">
        <f t="shared" si="42"/>
        <v>0</v>
      </c>
      <c r="AI75" s="119">
        <f t="shared" si="42"/>
        <v>0</v>
      </c>
      <c r="AJ75" s="534">
        <f t="shared" si="42"/>
        <v>0</v>
      </c>
      <c r="AK75" s="534">
        <f t="shared" si="42"/>
        <v>0</v>
      </c>
      <c r="AL75" s="534">
        <f t="shared" si="42"/>
        <v>0</v>
      </c>
      <c r="AM75" s="534">
        <f t="shared" si="42"/>
        <v>0</v>
      </c>
      <c r="AN75" s="534">
        <f t="shared" si="42"/>
        <v>0</v>
      </c>
      <c r="AO75" s="535">
        <f t="shared" si="42"/>
        <v>0</v>
      </c>
      <c r="AP75" s="118">
        <f t="shared" si="42"/>
        <v>0</v>
      </c>
      <c r="AQ75" s="119">
        <f t="shared" si="42"/>
        <v>0</v>
      </c>
      <c r="AR75" s="119">
        <f t="shared" si="42"/>
        <v>0</v>
      </c>
      <c r="AS75" s="119">
        <f t="shared" si="42"/>
        <v>0</v>
      </c>
      <c r="AT75" s="119">
        <f t="shared" si="42"/>
        <v>0</v>
      </c>
      <c r="AU75" s="119">
        <f t="shared" si="42"/>
        <v>0</v>
      </c>
      <c r="AV75" s="534">
        <f t="shared" si="42"/>
        <v>0</v>
      </c>
      <c r="AW75" s="534">
        <f t="shared" si="42"/>
        <v>0</v>
      </c>
      <c r="AX75" s="534">
        <f t="shared" si="42"/>
        <v>0</v>
      </c>
      <c r="AY75" s="534">
        <f t="shared" si="42"/>
        <v>0</v>
      </c>
      <c r="AZ75" s="534">
        <f t="shared" si="42"/>
        <v>0</v>
      </c>
      <c r="BA75" s="535">
        <f t="shared" si="42"/>
        <v>0</v>
      </c>
      <c r="BB75" s="118">
        <f t="shared" si="42"/>
        <v>0</v>
      </c>
      <c r="BC75" s="119">
        <f t="shared" si="42"/>
        <v>0</v>
      </c>
      <c r="BD75" s="119">
        <f t="shared" si="42"/>
        <v>0</v>
      </c>
      <c r="BE75" s="119">
        <f t="shared" si="42"/>
        <v>0</v>
      </c>
      <c r="BF75" s="119">
        <f t="shared" si="42"/>
        <v>0</v>
      </c>
      <c r="BG75" s="119">
        <f t="shared" si="42"/>
        <v>0</v>
      </c>
      <c r="BH75" s="534">
        <f t="shared" si="42"/>
        <v>0</v>
      </c>
      <c r="BI75" s="534">
        <f t="shared" si="42"/>
        <v>0</v>
      </c>
      <c r="BJ75" s="534">
        <f t="shared" si="42"/>
        <v>0</v>
      </c>
      <c r="BK75" s="534">
        <f t="shared" si="42"/>
        <v>0</v>
      </c>
      <c r="BL75" s="534">
        <f t="shared" si="42"/>
        <v>0</v>
      </c>
      <c r="BM75" s="535">
        <f t="shared" si="42"/>
        <v>0</v>
      </c>
      <c r="BR75" s="115"/>
    </row>
    <row r="76" spans="1:65" s="115" customFormat="1" ht="15.75">
      <c r="A76" s="1610" t="s">
        <v>242</v>
      </c>
      <c r="B76" s="116" t="s">
        <v>237</v>
      </c>
      <c r="C76" s="1407"/>
      <c r="D76" s="1408"/>
      <c r="E76" s="1408"/>
      <c r="F76" s="114">
        <f aca="true" t="shared" si="43" ref="F76:Q76">+IF(E78&lt;$D$24,$D$19,0)</f>
        <v>0</v>
      </c>
      <c r="G76" s="115">
        <f t="shared" si="43"/>
        <v>0</v>
      </c>
      <c r="H76" s="115">
        <f t="shared" si="43"/>
        <v>0</v>
      </c>
      <c r="I76" s="115">
        <f t="shared" si="43"/>
        <v>0</v>
      </c>
      <c r="J76" s="115">
        <f t="shared" si="43"/>
        <v>0</v>
      </c>
      <c r="K76" s="115">
        <f t="shared" si="43"/>
        <v>0</v>
      </c>
      <c r="L76" s="531">
        <f t="shared" si="43"/>
        <v>0</v>
      </c>
      <c r="M76" s="531">
        <f t="shared" si="43"/>
        <v>0</v>
      </c>
      <c r="N76" s="531">
        <f t="shared" si="43"/>
        <v>0</v>
      </c>
      <c r="O76" s="531">
        <f t="shared" si="43"/>
        <v>0</v>
      </c>
      <c r="P76" s="531">
        <f t="shared" si="43"/>
        <v>0</v>
      </c>
      <c r="Q76" s="530">
        <f t="shared" si="43"/>
        <v>0</v>
      </c>
      <c r="R76" s="114">
        <f aca="true" t="shared" si="44" ref="R76:AC76">+IF(Q78&lt;$E$24,$E$19,0)</f>
        <v>0</v>
      </c>
      <c r="S76" s="115">
        <f t="shared" si="44"/>
        <v>0</v>
      </c>
      <c r="T76" s="115">
        <f t="shared" si="44"/>
        <v>0</v>
      </c>
      <c r="U76" s="115">
        <f t="shared" si="44"/>
        <v>0</v>
      </c>
      <c r="V76" s="115">
        <f t="shared" si="44"/>
        <v>0</v>
      </c>
      <c r="W76" s="115">
        <f t="shared" si="44"/>
        <v>0</v>
      </c>
      <c r="X76" s="531">
        <f t="shared" si="44"/>
        <v>0</v>
      </c>
      <c r="Y76" s="531">
        <f t="shared" si="44"/>
        <v>0</v>
      </c>
      <c r="Z76" s="531">
        <f t="shared" si="44"/>
        <v>0</v>
      </c>
      <c r="AA76" s="531">
        <f t="shared" si="44"/>
        <v>0</v>
      </c>
      <c r="AB76" s="531">
        <f t="shared" si="44"/>
        <v>0</v>
      </c>
      <c r="AC76" s="530">
        <f t="shared" si="44"/>
        <v>0</v>
      </c>
      <c r="AD76" s="114">
        <f aca="true" t="shared" si="45" ref="AD76:AO76">+IF(AC78&lt;$F$24,$F$19,0)</f>
        <v>0</v>
      </c>
      <c r="AE76" s="115">
        <f t="shared" si="45"/>
        <v>0</v>
      </c>
      <c r="AF76" s="115">
        <f t="shared" si="45"/>
        <v>0</v>
      </c>
      <c r="AG76" s="115">
        <f t="shared" si="45"/>
        <v>0</v>
      </c>
      <c r="AH76" s="115">
        <f t="shared" si="45"/>
        <v>0</v>
      </c>
      <c r="AI76" s="115">
        <f t="shared" si="45"/>
        <v>0</v>
      </c>
      <c r="AJ76" s="531">
        <f t="shared" si="45"/>
        <v>0</v>
      </c>
      <c r="AK76" s="531">
        <f t="shared" si="45"/>
        <v>0</v>
      </c>
      <c r="AL76" s="531">
        <f t="shared" si="45"/>
        <v>0</v>
      </c>
      <c r="AM76" s="531">
        <f t="shared" si="45"/>
        <v>0</v>
      </c>
      <c r="AN76" s="531">
        <f t="shared" si="45"/>
        <v>0</v>
      </c>
      <c r="AO76" s="530">
        <f t="shared" si="45"/>
        <v>0</v>
      </c>
      <c r="AP76" s="114">
        <f aca="true" t="shared" si="46" ref="AP76:BA76">+IF(AO78&lt;$G$24,$G$19,0)</f>
        <v>0</v>
      </c>
      <c r="AQ76" s="115">
        <f t="shared" si="46"/>
        <v>0</v>
      </c>
      <c r="AR76" s="115">
        <f t="shared" si="46"/>
        <v>0</v>
      </c>
      <c r="AS76" s="115">
        <f t="shared" si="46"/>
        <v>0</v>
      </c>
      <c r="AT76" s="115">
        <f t="shared" si="46"/>
        <v>0</v>
      </c>
      <c r="AU76" s="115">
        <f t="shared" si="46"/>
        <v>0</v>
      </c>
      <c r="AV76" s="531">
        <f t="shared" si="46"/>
        <v>0</v>
      </c>
      <c r="AW76" s="531">
        <f t="shared" si="46"/>
        <v>0</v>
      </c>
      <c r="AX76" s="531">
        <f t="shared" si="46"/>
        <v>0</v>
      </c>
      <c r="AY76" s="531">
        <f t="shared" si="46"/>
        <v>0</v>
      </c>
      <c r="AZ76" s="531">
        <f t="shared" si="46"/>
        <v>0</v>
      </c>
      <c r="BA76" s="530">
        <f t="shared" si="46"/>
        <v>0</v>
      </c>
      <c r="BB76" s="114">
        <f aca="true" t="shared" si="47" ref="BB76:BM76">+IF(BA78&lt;$H$24,$H$19,0)</f>
        <v>0</v>
      </c>
      <c r="BC76" s="115">
        <f t="shared" si="47"/>
        <v>0</v>
      </c>
      <c r="BD76" s="115">
        <f t="shared" si="47"/>
        <v>0</v>
      </c>
      <c r="BE76" s="115">
        <f t="shared" si="47"/>
        <v>0</v>
      </c>
      <c r="BF76" s="115">
        <f t="shared" si="47"/>
        <v>0</v>
      </c>
      <c r="BG76" s="115">
        <f t="shared" si="47"/>
        <v>0</v>
      </c>
      <c r="BH76" s="531">
        <f t="shared" si="47"/>
        <v>0</v>
      </c>
      <c r="BI76" s="531">
        <f t="shared" si="47"/>
        <v>0</v>
      </c>
      <c r="BJ76" s="531">
        <f t="shared" si="47"/>
        <v>0</v>
      </c>
      <c r="BK76" s="531">
        <f t="shared" si="47"/>
        <v>0</v>
      </c>
      <c r="BL76" s="531">
        <f t="shared" si="47"/>
        <v>0</v>
      </c>
      <c r="BM76" s="530">
        <f t="shared" si="47"/>
        <v>0</v>
      </c>
    </row>
    <row r="77" spans="1:65" s="115" customFormat="1" ht="15.75">
      <c r="A77" s="1611"/>
      <c r="B77" s="116" t="s">
        <v>238</v>
      </c>
      <c r="C77" s="114"/>
      <c r="D77" s="1408"/>
      <c r="E77" s="1408"/>
      <c r="F77" s="114"/>
      <c r="L77" s="531"/>
      <c r="M77" s="531"/>
      <c r="N77" s="531"/>
      <c r="O77" s="531"/>
      <c r="P77" s="531"/>
      <c r="Q77" s="530"/>
      <c r="R77" s="114"/>
      <c r="X77" s="531"/>
      <c r="Y77" s="531"/>
      <c r="Z77" s="531"/>
      <c r="AA77" s="531"/>
      <c r="AB77" s="531"/>
      <c r="AC77" s="530"/>
      <c r="AD77" s="114"/>
      <c r="AJ77" s="531"/>
      <c r="AK77" s="531"/>
      <c r="AL77" s="531"/>
      <c r="AM77" s="531"/>
      <c r="AN77" s="531"/>
      <c r="AO77" s="530"/>
      <c r="AP77" s="114"/>
      <c r="AV77" s="531"/>
      <c r="AW77" s="531"/>
      <c r="AX77" s="531"/>
      <c r="AY77" s="531"/>
      <c r="AZ77" s="531"/>
      <c r="BA77" s="530"/>
      <c r="BB77" s="114"/>
      <c r="BH77" s="531"/>
      <c r="BI77" s="531"/>
      <c r="BJ77" s="531"/>
      <c r="BK77" s="531"/>
      <c r="BL77" s="531"/>
      <c r="BM77" s="530"/>
    </row>
    <row r="78" spans="1:70" s="120" customFormat="1" ht="16.2" thickBot="1">
      <c r="A78" s="1612"/>
      <c r="B78" s="117" t="s">
        <v>239</v>
      </c>
      <c r="C78" s="118"/>
      <c r="D78" s="119"/>
      <c r="E78" s="119"/>
      <c r="F78" s="118">
        <f aca="true" t="shared" si="48" ref="F78">+F76-F77+E78</f>
        <v>0</v>
      </c>
      <c r="G78" s="119">
        <f aca="true" t="shared" si="49" ref="G78:BM78">+G76-G77+F78</f>
        <v>0</v>
      </c>
      <c r="H78" s="119">
        <f t="shared" si="49"/>
        <v>0</v>
      </c>
      <c r="I78" s="119">
        <f t="shared" si="49"/>
        <v>0</v>
      </c>
      <c r="J78" s="119">
        <f t="shared" si="49"/>
        <v>0</v>
      </c>
      <c r="K78" s="119">
        <f t="shared" si="49"/>
        <v>0</v>
      </c>
      <c r="L78" s="534">
        <f t="shared" si="49"/>
        <v>0</v>
      </c>
      <c r="M78" s="534">
        <f t="shared" si="49"/>
        <v>0</v>
      </c>
      <c r="N78" s="534">
        <f t="shared" si="49"/>
        <v>0</v>
      </c>
      <c r="O78" s="534">
        <f t="shared" si="49"/>
        <v>0</v>
      </c>
      <c r="P78" s="534">
        <f t="shared" si="49"/>
        <v>0</v>
      </c>
      <c r="Q78" s="535">
        <f t="shared" si="49"/>
        <v>0</v>
      </c>
      <c r="R78" s="118">
        <f t="shared" si="49"/>
        <v>0</v>
      </c>
      <c r="S78" s="119">
        <f t="shared" si="49"/>
        <v>0</v>
      </c>
      <c r="T78" s="119">
        <f t="shared" si="49"/>
        <v>0</v>
      </c>
      <c r="U78" s="119">
        <f t="shared" si="49"/>
        <v>0</v>
      </c>
      <c r="V78" s="119">
        <f t="shared" si="49"/>
        <v>0</v>
      </c>
      <c r="W78" s="119">
        <f t="shared" si="49"/>
        <v>0</v>
      </c>
      <c r="X78" s="534">
        <f t="shared" si="49"/>
        <v>0</v>
      </c>
      <c r="Y78" s="534">
        <f t="shared" si="49"/>
        <v>0</v>
      </c>
      <c r="Z78" s="534">
        <f>+Z76-Z77+Y78</f>
        <v>0</v>
      </c>
      <c r="AA78" s="534">
        <f t="shared" si="49"/>
        <v>0</v>
      </c>
      <c r="AB78" s="534">
        <f t="shared" si="49"/>
        <v>0</v>
      </c>
      <c r="AC78" s="535">
        <f t="shared" si="49"/>
        <v>0</v>
      </c>
      <c r="AD78" s="118">
        <f t="shared" si="49"/>
        <v>0</v>
      </c>
      <c r="AE78" s="119">
        <f t="shared" si="49"/>
        <v>0</v>
      </c>
      <c r="AF78" s="119">
        <f t="shared" si="49"/>
        <v>0</v>
      </c>
      <c r="AG78" s="119">
        <f t="shared" si="49"/>
        <v>0</v>
      </c>
      <c r="AH78" s="119">
        <f t="shared" si="49"/>
        <v>0</v>
      </c>
      <c r="AI78" s="119">
        <f t="shared" si="49"/>
        <v>0</v>
      </c>
      <c r="AJ78" s="534">
        <f t="shared" si="49"/>
        <v>0</v>
      </c>
      <c r="AK78" s="534">
        <f t="shared" si="49"/>
        <v>0</v>
      </c>
      <c r="AL78" s="534">
        <f t="shared" si="49"/>
        <v>0</v>
      </c>
      <c r="AM78" s="534">
        <f t="shared" si="49"/>
        <v>0</v>
      </c>
      <c r="AN78" s="534">
        <f t="shared" si="49"/>
        <v>0</v>
      </c>
      <c r="AO78" s="535">
        <f t="shared" si="49"/>
        <v>0</v>
      </c>
      <c r="AP78" s="118">
        <f t="shared" si="49"/>
        <v>0</v>
      </c>
      <c r="AQ78" s="119">
        <f t="shared" si="49"/>
        <v>0</v>
      </c>
      <c r="AR78" s="119">
        <f t="shared" si="49"/>
        <v>0</v>
      </c>
      <c r="AS78" s="119">
        <f t="shared" si="49"/>
        <v>0</v>
      </c>
      <c r="AT78" s="119">
        <f t="shared" si="49"/>
        <v>0</v>
      </c>
      <c r="AU78" s="119">
        <f t="shared" si="49"/>
        <v>0</v>
      </c>
      <c r="AV78" s="534">
        <f t="shared" si="49"/>
        <v>0</v>
      </c>
      <c r="AW78" s="534">
        <f t="shared" si="49"/>
        <v>0</v>
      </c>
      <c r="AX78" s="534">
        <f t="shared" si="49"/>
        <v>0</v>
      </c>
      <c r="AY78" s="534">
        <f t="shared" si="49"/>
        <v>0</v>
      </c>
      <c r="AZ78" s="534">
        <f t="shared" si="49"/>
        <v>0</v>
      </c>
      <c r="BA78" s="535">
        <f t="shared" si="49"/>
        <v>0</v>
      </c>
      <c r="BB78" s="118">
        <f t="shared" si="49"/>
        <v>0</v>
      </c>
      <c r="BC78" s="119">
        <f t="shared" si="49"/>
        <v>0</v>
      </c>
      <c r="BD78" s="119">
        <f t="shared" si="49"/>
        <v>0</v>
      </c>
      <c r="BE78" s="119">
        <f t="shared" si="49"/>
        <v>0</v>
      </c>
      <c r="BF78" s="119">
        <f t="shared" si="49"/>
        <v>0</v>
      </c>
      <c r="BG78" s="119">
        <f t="shared" si="49"/>
        <v>0</v>
      </c>
      <c r="BH78" s="534">
        <f t="shared" si="49"/>
        <v>0</v>
      </c>
      <c r="BI78" s="534">
        <f t="shared" si="49"/>
        <v>0</v>
      </c>
      <c r="BJ78" s="534">
        <f t="shared" si="49"/>
        <v>0</v>
      </c>
      <c r="BK78" s="534">
        <f t="shared" si="49"/>
        <v>0</v>
      </c>
      <c r="BL78" s="534">
        <f t="shared" si="49"/>
        <v>0</v>
      </c>
      <c r="BM78" s="535">
        <f t="shared" si="49"/>
        <v>0</v>
      </c>
      <c r="BR78" s="115"/>
    </row>
  </sheetData>
  <sheetProtection algorithmName="SHA-512" hashValue="UOaZXoS7UzUNiPxU7owfywxaAlucDjATwzDiaRXsCetPSdPoir8UZgkc4E4ELw18Bna+pp698G1Gr8Jbzj1iow==" saltValue="gRmxgsyAds1WC/JeICLH0g==" spinCount="100000" sheet="1" objects="1" scenarios="1"/>
  <mergeCells count="26">
    <mergeCell ref="R64:AC65"/>
    <mergeCell ref="AD64:AO65"/>
    <mergeCell ref="AP64:BA65"/>
    <mergeCell ref="BB64:BM65"/>
    <mergeCell ref="BB30:BM31"/>
    <mergeCell ref="BB41:BM42"/>
    <mergeCell ref="AD30:AO31"/>
    <mergeCell ref="AD41:AO42"/>
    <mergeCell ref="AP30:BA31"/>
    <mergeCell ref="AP41:BA42"/>
    <mergeCell ref="R30:AC31"/>
    <mergeCell ref="R41:AC42"/>
    <mergeCell ref="F64:Q65"/>
    <mergeCell ref="C64:E65"/>
    <mergeCell ref="B64:B66"/>
    <mergeCell ref="A70:A72"/>
    <mergeCell ref="C14:H14"/>
    <mergeCell ref="F41:Q42"/>
    <mergeCell ref="F30:Q31"/>
    <mergeCell ref="A73:A75"/>
    <mergeCell ref="A76:A78"/>
    <mergeCell ref="C30:E31"/>
    <mergeCell ref="C41:E42"/>
    <mergeCell ref="B30:B32"/>
    <mergeCell ref="B41:B43"/>
    <mergeCell ref="A67:A69"/>
  </mergeCells>
  <dataValidations count="3">
    <dataValidation type="list" allowBlank="1" showInputMessage="1" showErrorMessage="1" sqref="C12:D12 D7">
      <formula1>"30,60,90"</formula1>
    </dataValidation>
    <dataValidation type="list" allowBlank="1" showInputMessage="1" showErrorMessage="1" sqref="C6 C11">
      <formula1>"0,30"</formula1>
    </dataValidation>
    <dataValidation type="list" allowBlank="1" showInputMessage="1" showErrorMessage="1" sqref="C7">
      <formula1>"30,60,90,180"</formula1>
    </dataValidation>
  </dataValidations>
  <printOptions/>
  <pageMargins left="0" right="0" top="0" bottom="0" header="0" footer="0"/>
  <pageSetup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dc:creator>
  <cp:keywords/>
  <dc:description/>
  <cp:lastModifiedBy>Alessandro Casiraghi</cp:lastModifiedBy>
  <dcterms:created xsi:type="dcterms:W3CDTF">2017-05-11T11:22:32Z</dcterms:created>
  <dcterms:modified xsi:type="dcterms:W3CDTF">2020-09-14T16:26:32Z</dcterms:modified>
  <cp:category/>
  <cp:version/>
  <cp:contentType/>
  <cp:contentStatus/>
</cp:coreProperties>
</file>